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75ca43f91e84a8/Documents/VancCalc/"/>
    </mc:Choice>
  </mc:AlternateContent>
  <xr:revisionPtr revIDLastSave="13" documentId="13_ncr:1_{2646C6FE-D263-4EB7-98BF-6A09E955EED9}" xr6:coauthVersionLast="47" xr6:coauthVersionMax="47" xr10:uidLastSave="{14A9841A-5B99-4CA8-A253-A7544A708CCC}"/>
  <bookViews>
    <workbookView xWindow="-120" yWindow="-120" windowWidth="29040" windowHeight="15840" tabRatio="872" xr2:uid="{C0B6633F-4F98-404A-9B6A-EDDBEF1A423E}"/>
  </bookViews>
  <sheets>
    <sheet name="Main" sheetId="1" r:id="rId1"/>
    <sheet name="EmpiricVANCOMYCINcalc" sheetId="2" r:id="rId2"/>
    <sheet name="EmpiricNote" sheetId="10" r:id="rId3"/>
    <sheet name="EmpWorksheet" sheetId="4" r:id="rId4"/>
    <sheet name="TwoLevelVANCOMYCINcalc" sheetId="8" r:id="rId5"/>
    <sheet name="TLKnote" sheetId="12" r:id="rId6"/>
    <sheet name="TLKworksheet" sheetId="9" r:id="rId7"/>
    <sheet name="EmpiricAMGcalc" sheetId="6" state="hidden" r:id="rId8"/>
    <sheet name="AmgEmpWS" sheetId="7" state="hidden" r:id="rId9"/>
    <sheet name="DLsheet" sheetId="3" r:id="rId10"/>
    <sheet name="WeMadeThis" sheetId="5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3" l="1"/>
  <c r="B66" i="3"/>
  <c r="B53" i="3"/>
  <c r="T47" i="3"/>
  <c r="T46" i="3"/>
  <c r="T45" i="3"/>
  <c r="T43" i="3"/>
  <c r="T42" i="3"/>
  <c r="T41" i="3"/>
  <c r="T40" i="3"/>
  <c r="T39" i="3"/>
  <c r="T38" i="3"/>
  <c r="T37" i="3"/>
  <c r="T33" i="3"/>
  <c r="T32" i="3"/>
  <c r="I49" i="3"/>
  <c r="I48" i="3"/>
  <c r="I47" i="3"/>
  <c r="I45" i="3"/>
  <c r="I44" i="3"/>
  <c r="I43" i="3"/>
  <c r="I42" i="3"/>
  <c r="I40" i="3"/>
  <c r="I39" i="3"/>
  <c r="I38" i="3"/>
  <c r="I37" i="3"/>
  <c r="I36" i="3"/>
  <c r="I34" i="3"/>
  <c r="I33" i="3"/>
  <c r="I32" i="3"/>
  <c r="I29" i="2"/>
  <c r="I28" i="2"/>
  <c r="I27" i="2"/>
  <c r="I26" i="2"/>
  <c r="I15" i="2"/>
  <c r="M34" i="8"/>
  <c r="M33" i="8"/>
  <c r="M32" i="8"/>
  <c r="Q37" i="2"/>
  <c r="Q36" i="2"/>
  <c r="Q35" i="2"/>
  <c r="Q28" i="2"/>
  <c r="Q27" i="2"/>
  <c r="Q26" i="2"/>
  <c r="M25" i="8"/>
  <c r="M24" i="8"/>
  <c r="M23" i="8"/>
  <c r="E20" i="8"/>
  <c r="G20" i="8" s="1"/>
  <c r="E17" i="8"/>
  <c r="G17" i="8" s="1"/>
  <c r="E14" i="8"/>
  <c r="G14" i="8" s="1"/>
  <c r="B26" i="8" s="1"/>
  <c r="Q3" i="9"/>
  <c r="M3" i="9" s="1"/>
  <c r="Q4" i="9"/>
  <c r="Q5" i="9"/>
  <c r="Q6" i="9"/>
  <c r="M6" i="9" s="1"/>
  <c r="Q7" i="9"/>
  <c r="Q8" i="9"/>
  <c r="Q9" i="9"/>
  <c r="M9" i="9" s="1"/>
  <c r="Q10" i="9"/>
  <c r="Q11" i="9"/>
  <c r="Q12" i="9"/>
  <c r="M12" i="9" s="1"/>
  <c r="Q13" i="9"/>
  <c r="Q14" i="9"/>
  <c r="Q15" i="9"/>
  <c r="Q16" i="9"/>
  <c r="M16" i="9" s="1"/>
  <c r="Q17" i="9"/>
  <c r="Q18" i="9"/>
  <c r="Q19" i="9"/>
  <c r="M19" i="9" s="1"/>
  <c r="Q20" i="9"/>
  <c r="Q21" i="9"/>
  <c r="Q22" i="9"/>
  <c r="M22" i="9" s="1"/>
  <c r="Q23" i="9"/>
  <c r="Q24" i="9"/>
  <c r="Q25" i="9"/>
  <c r="Q26" i="9"/>
  <c r="M26" i="9" s="1"/>
  <c r="Q27" i="9"/>
  <c r="M27" i="9" s="1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2" i="9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2" i="4"/>
  <c r="R9" i="4"/>
  <c r="R16" i="4"/>
  <c r="R24" i="4"/>
  <c r="R30" i="4"/>
  <c r="R34" i="4"/>
  <c r="R38" i="4"/>
  <c r="R41" i="4"/>
  <c r="R44" i="4"/>
  <c r="N44" i="4"/>
  <c r="N41" i="4"/>
  <c r="N38" i="4"/>
  <c r="N34" i="4"/>
  <c r="N30" i="4"/>
  <c r="N24" i="4"/>
  <c r="N16" i="4"/>
  <c r="N9" i="4"/>
  <c r="E18" i="2"/>
  <c r="T44" i="3"/>
  <c r="I13" i="8"/>
  <c r="R46" i="9"/>
  <c r="N46" i="9"/>
  <c r="R45" i="9"/>
  <c r="N45" i="9"/>
  <c r="R44" i="9"/>
  <c r="N44" i="9"/>
  <c r="R43" i="9"/>
  <c r="N43" i="9"/>
  <c r="R42" i="9"/>
  <c r="N42" i="9"/>
  <c r="R41" i="9"/>
  <c r="N41" i="9"/>
  <c r="R40" i="9"/>
  <c r="N40" i="9"/>
  <c r="R39" i="9"/>
  <c r="N39" i="9"/>
  <c r="R38" i="9"/>
  <c r="N38" i="9"/>
  <c r="R37" i="9"/>
  <c r="N37" i="9"/>
  <c r="R36" i="9"/>
  <c r="N36" i="9"/>
  <c r="R35" i="9"/>
  <c r="N35" i="9"/>
  <c r="R34" i="9"/>
  <c r="N34" i="9"/>
  <c r="R33" i="9"/>
  <c r="N33" i="9"/>
  <c r="R32" i="9"/>
  <c r="N32" i="9"/>
  <c r="R31" i="9"/>
  <c r="N31" i="9"/>
  <c r="R30" i="9"/>
  <c r="N30" i="9"/>
  <c r="R29" i="9"/>
  <c r="N29" i="9"/>
  <c r="R28" i="9"/>
  <c r="N28" i="9"/>
  <c r="R27" i="9"/>
  <c r="N27" i="9"/>
  <c r="R26" i="9"/>
  <c r="N26" i="9"/>
  <c r="R25" i="9"/>
  <c r="N25" i="9"/>
  <c r="R24" i="9"/>
  <c r="N24" i="9"/>
  <c r="R23" i="9"/>
  <c r="N23" i="9"/>
  <c r="R22" i="9"/>
  <c r="N22" i="9"/>
  <c r="R21" i="9"/>
  <c r="N21" i="9"/>
  <c r="R20" i="9"/>
  <c r="N20" i="9"/>
  <c r="R19" i="9"/>
  <c r="N19" i="9"/>
  <c r="R18" i="9"/>
  <c r="N18" i="9"/>
  <c r="R17" i="9"/>
  <c r="N17" i="9"/>
  <c r="R16" i="9"/>
  <c r="N16" i="9"/>
  <c r="R15" i="9"/>
  <c r="N15" i="9"/>
  <c r="R14" i="9"/>
  <c r="N14" i="9"/>
  <c r="R13" i="9"/>
  <c r="N13" i="9"/>
  <c r="R12" i="9"/>
  <c r="N12" i="9"/>
  <c r="R11" i="9"/>
  <c r="N11" i="9"/>
  <c r="R10" i="9"/>
  <c r="N10" i="9"/>
  <c r="R9" i="9"/>
  <c r="N9" i="9"/>
  <c r="R8" i="9"/>
  <c r="N8" i="9"/>
  <c r="R7" i="9"/>
  <c r="N7" i="9"/>
  <c r="R6" i="9"/>
  <c r="N6" i="9"/>
  <c r="R5" i="9"/>
  <c r="N5" i="9"/>
  <c r="R4" i="9"/>
  <c r="N4" i="9"/>
  <c r="R3" i="9"/>
  <c r="N3" i="9"/>
  <c r="R2" i="9"/>
  <c r="N2" i="9"/>
  <c r="T36" i="3" l="1"/>
  <c r="T34" i="3"/>
  <c r="T35" i="3"/>
  <c r="L53" i="3"/>
  <c r="I17" i="8"/>
  <c r="E23" i="8" s="1"/>
  <c r="I16" i="8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U2" i="7"/>
  <c r="U3" i="7"/>
  <c r="U4" i="7"/>
  <c r="U5" i="7"/>
  <c r="U1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I21" i="6"/>
  <c r="T12" i="6" s="1"/>
  <c r="E18" i="6"/>
  <c r="V14" i="6"/>
  <c r="N25" i="6" s="1"/>
  <c r="I14" i="6"/>
  <c r="I13" i="6"/>
  <c r="E16" i="6" s="1"/>
  <c r="V53" i="3" l="1"/>
  <c r="M16" i="8"/>
  <c r="A1" i="9"/>
  <c r="E25" i="8"/>
  <c r="E24" i="8"/>
  <c r="T11" i="6"/>
  <c r="J25" i="6"/>
  <c r="B1" i="7" s="1"/>
  <c r="E20" i="6"/>
  <c r="J13" i="6"/>
  <c r="M17" i="6" s="1"/>
  <c r="I46" i="3"/>
  <c r="I35" i="3"/>
  <c r="I41" i="3"/>
  <c r="I26" i="8" l="1"/>
  <c r="E26" i="8"/>
  <c r="I27" i="8"/>
  <c r="E27" i="8" s="1"/>
  <c r="J28" i="6"/>
  <c r="L17" i="6"/>
  <c r="E17" i="6" s="1"/>
  <c r="R3" i="4"/>
  <c r="R4" i="4"/>
  <c r="R5" i="4"/>
  <c r="R6" i="4"/>
  <c r="R7" i="4"/>
  <c r="R8" i="4"/>
  <c r="R10" i="4"/>
  <c r="R11" i="4"/>
  <c r="R12" i="4"/>
  <c r="R13" i="4"/>
  <c r="R14" i="4"/>
  <c r="R15" i="4"/>
  <c r="R17" i="4"/>
  <c r="R18" i="4"/>
  <c r="R19" i="4"/>
  <c r="R20" i="4"/>
  <c r="R21" i="4"/>
  <c r="R22" i="4"/>
  <c r="R23" i="4"/>
  <c r="R25" i="4"/>
  <c r="R26" i="4"/>
  <c r="R27" i="4"/>
  <c r="R28" i="4"/>
  <c r="R29" i="4"/>
  <c r="R31" i="4"/>
  <c r="R32" i="4"/>
  <c r="R33" i="4"/>
  <c r="R35" i="4"/>
  <c r="R36" i="4"/>
  <c r="R37" i="4"/>
  <c r="R39" i="4"/>
  <c r="R40" i="4"/>
  <c r="R42" i="4"/>
  <c r="R43" i="4"/>
  <c r="R45" i="4"/>
  <c r="R46" i="4"/>
  <c r="R47" i="4"/>
  <c r="R48" i="4"/>
  <c r="R49" i="4"/>
  <c r="R50" i="4"/>
  <c r="R51" i="4"/>
  <c r="R52" i="4"/>
  <c r="R53" i="4"/>
  <c r="R54" i="4"/>
  <c r="R2" i="4"/>
  <c r="N54" i="4"/>
  <c r="N53" i="4"/>
  <c r="N52" i="4"/>
  <c r="N51" i="4"/>
  <c r="N50" i="4"/>
  <c r="N49" i="4"/>
  <c r="N48" i="4"/>
  <c r="N47" i="4"/>
  <c r="N46" i="4"/>
  <c r="N45" i="4"/>
  <c r="N43" i="4"/>
  <c r="N42" i="4"/>
  <c r="N40" i="4"/>
  <c r="N39" i="4"/>
  <c r="N37" i="4"/>
  <c r="N36" i="4"/>
  <c r="N35" i="4"/>
  <c r="N33" i="4"/>
  <c r="N32" i="4"/>
  <c r="N31" i="4"/>
  <c r="N29" i="4"/>
  <c r="N28" i="4"/>
  <c r="N27" i="4"/>
  <c r="N26" i="4"/>
  <c r="N25" i="4"/>
  <c r="N23" i="4"/>
  <c r="N22" i="4"/>
  <c r="N21" i="4"/>
  <c r="N20" i="4"/>
  <c r="N19" i="4"/>
  <c r="N18" i="4"/>
  <c r="N17" i="4"/>
  <c r="N15" i="4"/>
  <c r="N14" i="4"/>
  <c r="N13" i="4"/>
  <c r="N12" i="4"/>
  <c r="N11" i="4"/>
  <c r="N10" i="4"/>
  <c r="N8" i="4"/>
  <c r="N7" i="4"/>
  <c r="N6" i="4"/>
  <c r="N5" i="4"/>
  <c r="N4" i="4"/>
  <c r="N3" i="4"/>
  <c r="N2" i="4"/>
  <c r="M14" i="8" l="1"/>
  <c r="M15" i="8" s="1"/>
  <c r="B1" i="9"/>
  <c r="E28" i="8"/>
  <c r="E29" i="8" s="1"/>
  <c r="S21" i="2"/>
  <c r="H7" i="3"/>
  <c r="H6" i="3"/>
  <c r="I14" i="2"/>
  <c r="I13" i="2"/>
  <c r="J13" i="2" s="1"/>
  <c r="W17" i="6" l="1"/>
  <c r="E15" i="6"/>
  <c r="E19" i="6" s="1"/>
  <c r="V17" i="6" s="1"/>
  <c r="I15" i="6"/>
  <c r="W14" i="6" s="1"/>
  <c r="U19" i="9"/>
  <c r="L19" i="9" s="1"/>
  <c r="S2" i="9"/>
  <c r="J2" i="9" s="1"/>
  <c r="U21" i="9"/>
  <c r="L21" i="9" s="1"/>
  <c r="S38" i="9"/>
  <c r="J38" i="9" s="1"/>
  <c r="S22" i="9"/>
  <c r="J22" i="9" s="1"/>
  <c r="S6" i="9"/>
  <c r="J6" i="9" s="1"/>
  <c r="S45" i="9"/>
  <c r="J45" i="9" s="1"/>
  <c r="S29" i="9"/>
  <c r="J29" i="9" s="1"/>
  <c r="S13" i="9"/>
  <c r="J13" i="9" s="1"/>
  <c r="U26" i="9"/>
  <c r="L26" i="9" s="1"/>
  <c r="U14" i="9"/>
  <c r="L14" i="9" s="1"/>
  <c r="S43" i="9"/>
  <c r="J43" i="9" s="1"/>
  <c r="S15" i="9"/>
  <c r="J15" i="9" s="1"/>
  <c r="U6" i="9"/>
  <c r="L6" i="9" s="1"/>
  <c r="U39" i="9"/>
  <c r="L39" i="9" s="1"/>
  <c r="S32" i="9"/>
  <c r="J32" i="9" s="1"/>
  <c r="S16" i="9"/>
  <c r="J16" i="9" s="1"/>
  <c r="U29" i="9"/>
  <c r="L29" i="9" s="1"/>
  <c r="S3" i="9"/>
  <c r="J3" i="9" s="1"/>
  <c r="U45" i="9"/>
  <c r="L45" i="9" s="1"/>
  <c r="S11" i="9"/>
  <c r="J11" i="9" s="1"/>
  <c r="U34" i="9"/>
  <c r="L34" i="9" s="1"/>
  <c r="U16" i="9"/>
  <c r="L16" i="9" s="1"/>
  <c r="U13" i="9"/>
  <c r="L13" i="9" s="1"/>
  <c r="S10" i="9"/>
  <c r="J10" i="9" s="1"/>
  <c r="S33" i="9"/>
  <c r="J33" i="9" s="1"/>
  <c r="U30" i="9"/>
  <c r="L30" i="9" s="1"/>
  <c r="U44" i="9"/>
  <c r="L44" i="9" s="1"/>
  <c r="U22" i="9"/>
  <c r="L22" i="9" s="1"/>
  <c r="S36" i="9"/>
  <c r="J36" i="9" s="1"/>
  <c r="S4" i="9"/>
  <c r="J4" i="9" s="1"/>
  <c r="U41" i="9"/>
  <c r="L41" i="9" s="1"/>
  <c r="U12" i="9"/>
  <c r="L12" i="9" s="1"/>
  <c r="U17" i="9"/>
  <c r="L17" i="9" s="1"/>
  <c r="U5" i="9"/>
  <c r="L5" i="9" s="1"/>
  <c r="U11" i="9"/>
  <c r="L11" i="9" s="1"/>
  <c r="S34" i="9"/>
  <c r="J34" i="9" s="1"/>
  <c r="S18" i="9"/>
  <c r="J18" i="9" s="1"/>
  <c r="U33" i="9"/>
  <c r="L33" i="9" s="1"/>
  <c r="S41" i="9"/>
  <c r="J41" i="9" s="1"/>
  <c r="S25" i="9"/>
  <c r="J25" i="9" s="1"/>
  <c r="S9" i="9"/>
  <c r="J9" i="9" s="1"/>
  <c r="U31" i="9"/>
  <c r="L31" i="9" s="1"/>
  <c r="U36" i="9"/>
  <c r="L36" i="9" s="1"/>
  <c r="S39" i="9"/>
  <c r="J39" i="9" s="1"/>
  <c r="S7" i="9"/>
  <c r="J7" i="9" s="1"/>
  <c r="U42" i="9"/>
  <c r="L42" i="9" s="1"/>
  <c r="S44" i="9"/>
  <c r="J44" i="9" s="1"/>
  <c r="S28" i="9"/>
  <c r="J28" i="9" s="1"/>
  <c r="S12" i="9"/>
  <c r="J12" i="9" s="1"/>
  <c r="U25" i="9"/>
  <c r="L25" i="9" s="1"/>
  <c r="U18" i="9"/>
  <c r="L18" i="9" s="1"/>
  <c r="S35" i="9"/>
  <c r="J35" i="9" s="1"/>
  <c r="U3" i="9"/>
  <c r="L3" i="9" s="1"/>
  <c r="U38" i="9"/>
  <c r="L38" i="9" s="1"/>
  <c r="U35" i="9"/>
  <c r="L35" i="9" s="1"/>
  <c r="S42" i="9"/>
  <c r="J42" i="9" s="1"/>
  <c r="S26" i="9"/>
  <c r="J26" i="9" s="1"/>
  <c r="U9" i="9"/>
  <c r="L9" i="9" s="1"/>
  <c r="U15" i="9"/>
  <c r="L15" i="9" s="1"/>
  <c r="S46" i="9"/>
  <c r="J46" i="9" s="1"/>
  <c r="S30" i="9"/>
  <c r="J30" i="9" s="1"/>
  <c r="S14" i="9"/>
  <c r="J14" i="9" s="1"/>
  <c r="U2" i="9"/>
  <c r="L2" i="9" s="1"/>
  <c r="S37" i="9"/>
  <c r="J37" i="9" s="1"/>
  <c r="S21" i="9"/>
  <c r="J21" i="9" s="1"/>
  <c r="S5" i="9"/>
  <c r="J5" i="9" s="1"/>
  <c r="U4" i="9"/>
  <c r="L4" i="9" s="1"/>
  <c r="U40" i="9"/>
  <c r="L40" i="9" s="1"/>
  <c r="S31" i="9"/>
  <c r="J31" i="9" s="1"/>
  <c r="U28" i="9"/>
  <c r="L28" i="9" s="1"/>
  <c r="U32" i="9"/>
  <c r="L32" i="9" s="1"/>
  <c r="S40" i="9"/>
  <c r="J40" i="9" s="1"/>
  <c r="S24" i="9"/>
  <c r="J24" i="9" s="1"/>
  <c r="S8" i="9"/>
  <c r="J8" i="9" s="1"/>
  <c r="U24" i="9"/>
  <c r="L24" i="9" s="1"/>
  <c r="U37" i="9"/>
  <c r="L37" i="9" s="1"/>
  <c r="S27" i="9"/>
  <c r="J27" i="9" s="1"/>
  <c r="U23" i="9"/>
  <c r="L23" i="9" s="1"/>
  <c r="U46" i="9"/>
  <c r="L46" i="9" s="1"/>
  <c r="U7" i="9"/>
  <c r="L7" i="9" s="1"/>
  <c r="U43" i="9"/>
  <c r="L43" i="9" s="1"/>
  <c r="S17" i="9"/>
  <c r="J17" i="9" s="1"/>
  <c r="U20" i="9"/>
  <c r="L20" i="9" s="1"/>
  <c r="S23" i="9"/>
  <c r="J23" i="9" s="1"/>
  <c r="U10" i="9"/>
  <c r="L10" i="9" s="1"/>
  <c r="S20" i="9"/>
  <c r="J20" i="9" s="1"/>
  <c r="U8" i="9"/>
  <c r="L8" i="9" s="1"/>
  <c r="S19" i="9"/>
  <c r="J19" i="9" s="1"/>
  <c r="U27" i="9"/>
  <c r="L27" i="9" s="1"/>
  <c r="E16" i="2"/>
  <c r="L17" i="2"/>
  <c r="M17" i="2"/>
  <c r="E20" i="2" l="1"/>
  <c r="X17" i="2"/>
  <c r="X14" i="2"/>
  <c r="E15" i="2"/>
  <c r="V14" i="2" s="1"/>
  <c r="L23" i="6"/>
  <c r="N26" i="6"/>
  <c r="L22" i="6"/>
  <c r="J26" i="6" s="1"/>
  <c r="E17" i="2"/>
  <c r="T44" i="9"/>
  <c r="K44" i="9" s="1"/>
  <c r="M44" i="9" s="1"/>
  <c r="T41" i="9"/>
  <c r="K41" i="9" s="1"/>
  <c r="M41" i="9" s="1"/>
  <c r="T43" i="9"/>
  <c r="K43" i="9" s="1"/>
  <c r="M43" i="9" s="1"/>
  <c r="T29" i="9"/>
  <c r="K29" i="9" s="1"/>
  <c r="M29" i="9" s="1"/>
  <c r="T38" i="9"/>
  <c r="K38" i="9" s="1"/>
  <c r="M38" i="9" s="1"/>
  <c r="T20" i="9"/>
  <c r="K20" i="9" s="1"/>
  <c r="M20" i="9" s="1"/>
  <c r="T17" i="9"/>
  <c r="K17" i="9" s="1"/>
  <c r="M17" i="9" s="1"/>
  <c r="T8" i="9"/>
  <c r="T5" i="9"/>
  <c r="K5" i="9" s="1"/>
  <c r="M5" i="9" s="1"/>
  <c r="T14" i="9"/>
  <c r="K14" i="9" s="1"/>
  <c r="M14" i="9" s="1"/>
  <c r="T4" i="9"/>
  <c r="K4" i="9" s="1"/>
  <c r="M4" i="9" s="1"/>
  <c r="T3" i="9"/>
  <c r="K3" i="9" s="1"/>
  <c r="T45" i="9"/>
  <c r="K45" i="9" s="1"/>
  <c r="M45" i="9" s="1"/>
  <c r="T27" i="9"/>
  <c r="K27" i="9" s="1"/>
  <c r="T24" i="9"/>
  <c r="T31" i="9"/>
  <c r="K31" i="9" s="1"/>
  <c r="M31" i="9" s="1"/>
  <c r="T21" i="9"/>
  <c r="K21" i="9" s="1"/>
  <c r="M21" i="9" s="1"/>
  <c r="T30" i="9"/>
  <c r="K30" i="9" s="1"/>
  <c r="M30" i="9" s="1"/>
  <c r="T26" i="9"/>
  <c r="T12" i="9"/>
  <c r="T7" i="9"/>
  <c r="T9" i="9"/>
  <c r="K9" i="9" s="1"/>
  <c r="T18" i="9"/>
  <c r="K18" i="9" s="1"/>
  <c r="M18" i="9" s="1"/>
  <c r="T36" i="9"/>
  <c r="T33" i="9"/>
  <c r="T6" i="9"/>
  <c r="K6" i="9" s="1"/>
  <c r="T2" i="9"/>
  <c r="K2" i="9" s="1"/>
  <c r="M2" i="9" s="1"/>
  <c r="T32" i="9"/>
  <c r="K32" i="9" s="1"/>
  <c r="M32" i="9" s="1"/>
  <c r="T19" i="9"/>
  <c r="T23" i="9"/>
  <c r="K23" i="9" s="1"/>
  <c r="M23" i="9" s="1"/>
  <c r="T40" i="9"/>
  <c r="K40" i="9" s="1"/>
  <c r="M40" i="9" s="1"/>
  <c r="T37" i="9"/>
  <c r="K37" i="9" s="1"/>
  <c r="M37" i="9" s="1"/>
  <c r="T46" i="9"/>
  <c r="K46" i="9" s="1"/>
  <c r="M46" i="9" s="1"/>
  <c r="T42" i="9"/>
  <c r="T35" i="9"/>
  <c r="K35" i="9" s="1"/>
  <c r="M35" i="9" s="1"/>
  <c r="T28" i="9"/>
  <c r="K28" i="9" s="1"/>
  <c r="M28" i="9" s="1"/>
  <c r="T39" i="9"/>
  <c r="T25" i="9"/>
  <c r="T34" i="9"/>
  <c r="T10" i="9"/>
  <c r="T11" i="9"/>
  <c r="T16" i="9"/>
  <c r="T15" i="9"/>
  <c r="T13" i="9"/>
  <c r="T22" i="9"/>
  <c r="K22" i="9" s="1"/>
  <c r="E19" i="2" l="1"/>
  <c r="V17" i="2" s="1"/>
  <c r="A1" i="7"/>
  <c r="N27" i="6"/>
  <c r="J27" i="6"/>
  <c r="J29" i="6"/>
  <c r="AA1" i="7" s="1"/>
  <c r="J32" i="6" s="1"/>
  <c r="K26" i="9"/>
  <c r="K13" i="9"/>
  <c r="M13" i="9" s="1"/>
  <c r="K10" i="9"/>
  <c r="M10" i="9" s="1"/>
  <c r="K24" i="9"/>
  <c r="M24" i="9" s="1"/>
  <c r="K8" i="9"/>
  <c r="M8" i="9" s="1"/>
  <c r="K34" i="9"/>
  <c r="M34" i="9" s="1"/>
  <c r="K19" i="9"/>
  <c r="K33" i="9"/>
  <c r="M33" i="9" s="1"/>
  <c r="K7" i="9"/>
  <c r="M7" i="9" s="1"/>
  <c r="K11" i="9"/>
  <c r="M11" i="9" s="1"/>
  <c r="K39" i="9"/>
  <c r="M39" i="9" s="1"/>
  <c r="K15" i="9"/>
  <c r="M15" i="9" s="1"/>
  <c r="K16" i="9"/>
  <c r="K25" i="9"/>
  <c r="M25" i="9" s="1"/>
  <c r="K42" i="9"/>
  <c r="M42" i="9" s="1"/>
  <c r="K36" i="9"/>
  <c r="M36" i="9" s="1"/>
  <c r="K12" i="9"/>
  <c r="E26" i="2" l="1"/>
  <c r="S28" i="7"/>
  <c r="S82" i="7"/>
  <c r="Q4" i="7"/>
  <c r="Q64" i="7"/>
  <c r="S25" i="7"/>
  <c r="S81" i="7"/>
  <c r="Q91" i="7"/>
  <c r="S16" i="7"/>
  <c r="Q9" i="7"/>
  <c r="S63" i="7"/>
  <c r="Q71" i="7"/>
  <c r="S17" i="7"/>
  <c r="Q82" i="7"/>
  <c r="S59" i="7"/>
  <c r="Q13" i="7"/>
  <c r="S36" i="7"/>
  <c r="Q51" i="7"/>
  <c r="S23" i="7"/>
  <c r="Q14" i="7"/>
  <c r="S87" i="7"/>
  <c r="Q25" i="7"/>
  <c r="Q69" i="7"/>
  <c r="Q65" i="7"/>
  <c r="Q49" i="7"/>
  <c r="Q63" i="7"/>
  <c r="S67" i="7"/>
  <c r="Q41" i="7"/>
  <c r="Q67" i="7"/>
  <c r="Q35" i="7"/>
  <c r="S52" i="7"/>
  <c r="S55" i="7"/>
  <c r="S61" i="7"/>
  <c r="S42" i="7"/>
  <c r="S9" i="7"/>
  <c r="S39" i="7"/>
  <c r="S88" i="7"/>
  <c r="S76" i="7"/>
  <c r="Q50" i="7"/>
  <c r="Q26" i="7"/>
  <c r="Q20" i="7"/>
  <c r="S35" i="7"/>
  <c r="Q2" i="7"/>
  <c r="S45" i="7"/>
  <c r="Q29" i="7"/>
  <c r="S4" i="7"/>
  <c r="S70" i="7"/>
  <c r="Q39" i="7"/>
  <c r="S79" i="7"/>
  <c r="Q45" i="7"/>
  <c r="Q61" i="7"/>
  <c r="Q84" i="7"/>
  <c r="Q88" i="7"/>
  <c r="Q16" i="7"/>
  <c r="Q62" i="7"/>
  <c r="Q17" i="7"/>
  <c r="Q19" i="7"/>
  <c r="Q28" i="7"/>
  <c r="Q89" i="7"/>
  <c r="S34" i="7"/>
  <c r="Q6" i="7"/>
  <c r="Q78" i="7"/>
  <c r="Q73" i="7"/>
  <c r="Q60" i="7"/>
  <c r="S72" i="7"/>
  <c r="Q76" i="7"/>
  <c r="Q23" i="7"/>
  <c r="S5" i="7"/>
  <c r="S32" i="7"/>
  <c r="S27" i="7"/>
  <c r="S38" i="7"/>
  <c r="S20" i="7"/>
  <c r="Q70" i="7"/>
  <c r="Q90" i="7"/>
  <c r="Q53" i="7"/>
  <c r="S64" i="7"/>
  <c r="S77" i="7"/>
  <c r="Q40" i="7"/>
  <c r="S12" i="7"/>
  <c r="Q27" i="7"/>
  <c r="S56" i="7"/>
  <c r="Q10" i="7"/>
  <c r="S19" i="7"/>
  <c r="S80" i="7"/>
  <c r="S31" i="7"/>
  <c r="Q43" i="7"/>
  <c r="Q3" i="7"/>
  <c r="S47" i="7"/>
  <c r="Q12" i="7"/>
  <c r="S6" i="7"/>
  <c r="S51" i="7"/>
  <c r="S3" i="7"/>
  <c r="S57" i="7"/>
  <c r="S78" i="7"/>
  <c r="S89" i="7"/>
  <c r="Q72" i="7"/>
  <c r="Q8" i="7"/>
  <c r="S10" i="7"/>
  <c r="Q36" i="7"/>
  <c r="S13" i="7"/>
  <c r="S40" i="7"/>
  <c r="S46" i="7"/>
  <c r="S54" i="7"/>
  <c r="Q87" i="7"/>
  <c r="S7" i="7"/>
  <c r="Q21" i="7"/>
  <c r="S8" i="7"/>
  <c r="Q42" i="7"/>
  <c r="Q56" i="7"/>
  <c r="S85" i="7"/>
  <c r="S14" i="7"/>
  <c r="S60" i="7"/>
  <c r="S73" i="7"/>
  <c r="Q15" i="7"/>
  <c r="Q57" i="7"/>
  <c r="S22" i="7"/>
  <c r="S74" i="7"/>
  <c r="Q46" i="7"/>
  <c r="S26" i="7"/>
  <c r="S44" i="7"/>
  <c r="S86" i="7"/>
  <c r="Q33" i="7"/>
  <c r="S83" i="7"/>
  <c r="Q48" i="7"/>
  <c r="Q66" i="7"/>
  <c r="S69" i="7"/>
  <c r="Q85" i="7"/>
  <c r="S41" i="7"/>
  <c r="Q5" i="7"/>
  <c r="Q31" i="7"/>
  <c r="S53" i="7"/>
  <c r="Q37" i="7"/>
  <c r="S75" i="7"/>
  <c r="Q81" i="7"/>
  <c r="Q59" i="7"/>
  <c r="S50" i="7"/>
  <c r="Q77" i="7"/>
  <c r="S33" i="7"/>
  <c r="S11" i="7"/>
  <c r="S24" i="7"/>
  <c r="Q24" i="7"/>
  <c r="S30" i="7"/>
  <c r="Q86" i="7"/>
  <c r="S68" i="7"/>
  <c r="Q54" i="7"/>
  <c r="Q83" i="7"/>
  <c r="S49" i="7"/>
  <c r="Q52" i="7"/>
  <c r="Q80" i="7"/>
  <c r="Q55" i="7"/>
  <c r="S29" i="7"/>
  <c r="S90" i="7"/>
  <c r="Q44" i="7"/>
  <c r="S37" i="7"/>
  <c r="S21" i="7"/>
  <c r="S91" i="7"/>
  <c r="Q74" i="7"/>
  <c r="Q32" i="7"/>
  <c r="Q18" i="7"/>
  <c r="S48" i="7"/>
  <c r="S43" i="7"/>
  <c r="Q68" i="7"/>
  <c r="Q79" i="7"/>
  <c r="Q34" i="7"/>
  <c r="S71" i="7"/>
  <c r="S18" i="7"/>
  <c r="S2" i="7"/>
  <c r="S58" i="7"/>
  <c r="Q58" i="7"/>
  <c r="S15" i="7"/>
  <c r="S65" i="7"/>
  <c r="S66" i="7"/>
  <c r="Q75" i="7"/>
  <c r="Q7" i="7"/>
  <c r="Q30" i="7"/>
  <c r="Q47" i="7"/>
  <c r="S62" i="7"/>
  <c r="Q11" i="7"/>
  <c r="Q38" i="7"/>
  <c r="S84" i="7"/>
  <c r="Q22" i="7"/>
  <c r="AA2" i="9"/>
  <c r="AA1" i="9"/>
  <c r="AA3" i="9"/>
  <c r="L21" i="2"/>
  <c r="L22" i="2"/>
  <c r="E27" i="2" s="1"/>
  <c r="AG1" i="9" l="1"/>
  <c r="O32" i="8" s="1"/>
  <c r="AF1" i="9"/>
  <c r="Q32" i="8" s="1"/>
  <c r="AE1" i="9"/>
  <c r="P32" i="8" s="1"/>
  <c r="AF2" i="9"/>
  <c r="Q33" i="8" s="1"/>
  <c r="AE2" i="9"/>
  <c r="P33" i="8" s="1"/>
  <c r="AG2" i="9"/>
  <c r="O33" i="8" s="1"/>
  <c r="AE3" i="9"/>
  <c r="P34" i="8" s="1"/>
  <c r="AG3" i="9"/>
  <c r="O34" i="8" s="1"/>
  <c r="AF3" i="9"/>
  <c r="Q34" i="8" s="1"/>
  <c r="L23" i="2"/>
  <c r="B1" i="4"/>
  <c r="J59" i="7"/>
  <c r="R59" i="7"/>
  <c r="K59" i="7" s="1"/>
  <c r="R85" i="7"/>
  <c r="K85" i="7" s="1"/>
  <c r="J85" i="7"/>
  <c r="R57" i="7"/>
  <c r="K57" i="7" s="1"/>
  <c r="J57" i="7"/>
  <c r="R36" i="7"/>
  <c r="K36" i="7" s="1"/>
  <c r="J36" i="7"/>
  <c r="J3" i="7"/>
  <c r="R3" i="7"/>
  <c r="K3" i="7" s="1"/>
  <c r="R53" i="7"/>
  <c r="K53" i="7" s="1"/>
  <c r="J53" i="7"/>
  <c r="R23" i="7"/>
  <c r="K23" i="7" s="1"/>
  <c r="J23" i="7"/>
  <c r="R73" i="7"/>
  <c r="K73" i="7" s="1"/>
  <c r="J73" i="7"/>
  <c r="R89" i="7"/>
  <c r="K89" i="7" s="1"/>
  <c r="J89" i="7"/>
  <c r="J62" i="7"/>
  <c r="R62" i="7"/>
  <c r="K62" i="7" s="1"/>
  <c r="J61" i="7"/>
  <c r="R61" i="7"/>
  <c r="K61" i="7" s="1"/>
  <c r="J2" i="7"/>
  <c r="R2" i="7"/>
  <c r="K2" i="7" s="1"/>
  <c r="J50" i="7"/>
  <c r="R50" i="7"/>
  <c r="K50" i="7" s="1"/>
  <c r="R69" i="7"/>
  <c r="K69" i="7" s="1"/>
  <c r="J69" i="7"/>
  <c r="J22" i="7"/>
  <c r="R22" i="7"/>
  <c r="K22" i="7" s="1"/>
  <c r="R75" i="7"/>
  <c r="K75" i="7" s="1"/>
  <c r="J75" i="7"/>
  <c r="R58" i="7"/>
  <c r="K58" i="7" s="1"/>
  <c r="J58" i="7"/>
  <c r="J74" i="7"/>
  <c r="R74" i="7"/>
  <c r="K74" i="7" s="1"/>
  <c r="J44" i="7"/>
  <c r="R44" i="7"/>
  <c r="K44" i="7" s="1"/>
  <c r="R80" i="7"/>
  <c r="K80" i="7" s="1"/>
  <c r="J80" i="7"/>
  <c r="J54" i="7"/>
  <c r="R54" i="7"/>
  <c r="K54" i="7" s="1"/>
  <c r="J24" i="7"/>
  <c r="R24" i="7"/>
  <c r="K24" i="7" s="1"/>
  <c r="J77" i="7"/>
  <c r="R77" i="7"/>
  <c r="K77" i="7" s="1"/>
  <c r="R5" i="7"/>
  <c r="K5" i="7" s="1"/>
  <c r="J5" i="7"/>
  <c r="J66" i="7"/>
  <c r="R66" i="7"/>
  <c r="K66" i="7" s="1"/>
  <c r="J56" i="7"/>
  <c r="R56" i="7"/>
  <c r="K56" i="7" s="1"/>
  <c r="J8" i="7"/>
  <c r="R8" i="7"/>
  <c r="K8" i="7" s="1"/>
  <c r="R12" i="7"/>
  <c r="K12" i="7" s="1"/>
  <c r="J12" i="7"/>
  <c r="J70" i="7"/>
  <c r="R70" i="7"/>
  <c r="K70" i="7" s="1"/>
  <c r="J6" i="7"/>
  <c r="R6" i="7"/>
  <c r="K6" i="7" s="1"/>
  <c r="R19" i="7"/>
  <c r="K19" i="7" s="1"/>
  <c r="J19" i="7"/>
  <c r="J88" i="7"/>
  <c r="R88" i="7"/>
  <c r="K88" i="7" s="1"/>
  <c r="R29" i="7"/>
  <c r="K29" i="7" s="1"/>
  <c r="J29" i="7"/>
  <c r="J20" i="7"/>
  <c r="R20" i="7"/>
  <c r="K20" i="7" s="1"/>
  <c r="R67" i="7"/>
  <c r="K67" i="7" s="1"/>
  <c r="J67" i="7"/>
  <c r="R49" i="7"/>
  <c r="K49" i="7" s="1"/>
  <c r="J49" i="7"/>
  <c r="J64" i="7"/>
  <c r="R64" i="7"/>
  <c r="K64" i="7" s="1"/>
  <c r="J47" i="7"/>
  <c r="R47" i="7"/>
  <c r="K47" i="7" s="1"/>
  <c r="J34" i="7"/>
  <c r="R34" i="7"/>
  <c r="K34" i="7" s="1"/>
  <c r="R52" i="7"/>
  <c r="K52" i="7" s="1"/>
  <c r="J52" i="7"/>
  <c r="R37" i="7"/>
  <c r="K37" i="7" s="1"/>
  <c r="J37" i="7"/>
  <c r="R48" i="7"/>
  <c r="K48" i="7" s="1"/>
  <c r="J48" i="7"/>
  <c r="R42" i="7"/>
  <c r="K42" i="7" s="1"/>
  <c r="J42" i="7"/>
  <c r="R87" i="7"/>
  <c r="K87" i="7" s="1"/>
  <c r="J87" i="7"/>
  <c r="J72" i="7"/>
  <c r="R72" i="7"/>
  <c r="K72" i="7" s="1"/>
  <c r="R27" i="7"/>
  <c r="K27" i="7" s="1"/>
  <c r="J27" i="7"/>
  <c r="J60" i="7"/>
  <c r="R60" i="7"/>
  <c r="K60" i="7" s="1"/>
  <c r="R17" i="7"/>
  <c r="K17" i="7" s="1"/>
  <c r="J17" i="7"/>
  <c r="J84" i="7"/>
  <c r="R84" i="7"/>
  <c r="K84" i="7" s="1"/>
  <c r="R39" i="7"/>
  <c r="K39" i="7" s="1"/>
  <c r="J39" i="7"/>
  <c r="J26" i="7"/>
  <c r="R26" i="7"/>
  <c r="K26" i="7" s="1"/>
  <c r="J41" i="7"/>
  <c r="R41" i="7"/>
  <c r="K41" i="7" s="1"/>
  <c r="J65" i="7"/>
  <c r="R65" i="7"/>
  <c r="K65" i="7" s="1"/>
  <c r="R14" i="7"/>
  <c r="K14" i="7" s="1"/>
  <c r="J14" i="7"/>
  <c r="J13" i="7"/>
  <c r="R13" i="7"/>
  <c r="K13" i="7" s="1"/>
  <c r="J71" i="7"/>
  <c r="R71" i="7"/>
  <c r="K71" i="7" s="1"/>
  <c r="J91" i="7"/>
  <c r="R91" i="7"/>
  <c r="K91" i="7" s="1"/>
  <c r="J4" i="7"/>
  <c r="R4" i="7"/>
  <c r="K4" i="7" s="1"/>
  <c r="R38" i="7"/>
  <c r="K38" i="7" s="1"/>
  <c r="J38" i="7"/>
  <c r="R30" i="7"/>
  <c r="K30" i="7" s="1"/>
  <c r="J30" i="7"/>
  <c r="R79" i="7"/>
  <c r="K79" i="7" s="1"/>
  <c r="J79" i="7"/>
  <c r="R18" i="7"/>
  <c r="K18" i="7" s="1"/>
  <c r="J18" i="7"/>
  <c r="J86" i="7"/>
  <c r="R86" i="7"/>
  <c r="K86" i="7" s="1"/>
  <c r="J11" i="7"/>
  <c r="R11" i="7"/>
  <c r="K11" i="7" s="1"/>
  <c r="R7" i="7"/>
  <c r="K7" i="7" s="1"/>
  <c r="J7" i="7"/>
  <c r="J68" i="7"/>
  <c r="R68" i="7"/>
  <c r="K68" i="7" s="1"/>
  <c r="R32" i="7"/>
  <c r="K32" i="7" s="1"/>
  <c r="J32" i="7"/>
  <c r="J55" i="7"/>
  <c r="R55" i="7"/>
  <c r="K55" i="7" s="1"/>
  <c r="J83" i="7"/>
  <c r="R83" i="7"/>
  <c r="K83" i="7" s="1"/>
  <c r="R81" i="7"/>
  <c r="K81" i="7" s="1"/>
  <c r="J81" i="7"/>
  <c r="J31" i="7"/>
  <c r="R31" i="7"/>
  <c r="K31" i="7" s="1"/>
  <c r="R33" i="7"/>
  <c r="K33" i="7" s="1"/>
  <c r="J33" i="7"/>
  <c r="J46" i="7"/>
  <c r="R46" i="7"/>
  <c r="K46" i="7" s="1"/>
  <c r="J15" i="7"/>
  <c r="R15" i="7"/>
  <c r="K15" i="7" s="1"/>
  <c r="J21" i="7"/>
  <c r="R21" i="7"/>
  <c r="K21" i="7" s="1"/>
  <c r="R43" i="7"/>
  <c r="K43" i="7" s="1"/>
  <c r="J43" i="7"/>
  <c r="R10" i="7"/>
  <c r="K10" i="7" s="1"/>
  <c r="J10" i="7"/>
  <c r="N10" i="7" s="1"/>
  <c r="R40" i="7"/>
  <c r="K40" i="7" s="1"/>
  <c r="J40" i="7"/>
  <c r="R90" i="7"/>
  <c r="K90" i="7" s="1"/>
  <c r="J90" i="7"/>
  <c r="N90" i="7" s="1"/>
  <c r="J76" i="7"/>
  <c r="R76" i="7"/>
  <c r="K76" i="7" s="1"/>
  <c r="J78" i="7"/>
  <c r="R78" i="7"/>
  <c r="K78" i="7" s="1"/>
  <c r="J28" i="7"/>
  <c r="R28" i="7"/>
  <c r="K28" i="7" s="1"/>
  <c r="J16" i="7"/>
  <c r="R16" i="7"/>
  <c r="K16" i="7" s="1"/>
  <c r="J45" i="7"/>
  <c r="R45" i="7"/>
  <c r="K45" i="7" s="1"/>
  <c r="J35" i="7"/>
  <c r="R35" i="7"/>
  <c r="K35" i="7" s="1"/>
  <c r="R63" i="7"/>
  <c r="K63" i="7" s="1"/>
  <c r="J63" i="7"/>
  <c r="J25" i="7"/>
  <c r="R25" i="7"/>
  <c r="K25" i="7" s="1"/>
  <c r="R51" i="7"/>
  <c r="K51" i="7" s="1"/>
  <c r="J51" i="7"/>
  <c r="R82" i="7"/>
  <c r="K82" i="7" s="1"/>
  <c r="J82" i="7"/>
  <c r="N82" i="7" s="1"/>
  <c r="J9" i="7"/>
  <c r="R9" i="7"/>
  <c r="K9" i="7" s="1"/>
  <c r="AB3" i="9"/>
  <c r="AD3" i="9"/>
  <c r="AC3" i="9"/>
  <c r="AC1" i="9"/>
  <c r="AD1" i="9"/>
  <c r="AB1" i="9"/>
  <c r="AB2" i="9"/>
  <c r="AD2" i="9"/>
  <c r="AC2" i="9"/>
  <c r="A1" i="4"/>
  <c r="E28" i="2"/>
  <c r="E31" i="2"/>
  <c r="E29" i="2"/>
  <c r="S41" i="4" l="1"/>
  <c r="U38" i="4"/>
  <c r="L38" i="4" s="1"/>
  <c r="S24" i="4"/>
  <c r="U16" i="4"/>
  <c r="L16" i="4" s="1"/>
  <c r="S44" i="4"/>
  <c r="U41" i="4"/>
  <c r="L41" i="4" s="1"/>
  <c r="S30" i="4"/>
  <c r="U24" i="4"/>
  <c r="L24" i="4" s="1"/>
  <c r="U44" i="4"/>
  <c r="L44" i="4" s="1"/>
  <c r="S34" i="4"/>
  <c r="U30" i="4"/>
  <c r="L30" i="4" s="1"/>
  <c r="S9" i="4"/>
  <c r="S38" i="4"/>
  <c r="U34" i="4"/>
  <c r="L34" i="4" s="1"/>
  <c r="S16" i="4"/>
  <c r="U9" i="4"/>
  <c r="L9" i="4" s="1"/>
  <c r="U54" i="4"/>
  <c r="L54" i="4" s="1"/>
  <c r="N7" i="7"/>
  <c r="N32" i="7"/>
  <c r="N79" i="7"/>
  <c r="N38" i="7"/>
  <c r="N51" i="7"/>
  <c r="N63" i="7"/>
  <c r="N42" i="7"/>
  <c r="N37" i="7"/>
  <c r="N67" i="7"/>
  <c r="N29" i="7"/>
  <c r="N40" i="7"/>
  <c r="N43" i="7"/>
  <c r="N19" i="7"/>
  <c r="E3" i="9"/>
  <c r="C3" i="9"/>
  <c r="N33" i="7"/>
  <c r="N81" i="7"/>
  <c r="N18" i="7"/>
  <c r="N30" i="7"/>
  <c r="N39" i="7"/>
  <c r="N17" i="7"/>
  <c r="N27" i="7"/>
  <c r="N87" i="7"/>
  <c r="N48" i="7"/>
  <c r="N52" i="7"/>
  <c r="N49" i="7"/>
  <c r="N12" i="7"/>
  <c r="N5" i="7"/>
  <c r="N80" i="7"/>
  <c r="N75" i="7"/>
  <c r="N69" i="7"/>
  <c r="N2" i="7"/>
  <c r="N73" i="7"/>
  <c r="N53" i="7"/>
  <c r="N36" i="7"/>
  <c r="N85" i="7"/>
  <c r="N58" i="7"/>
  <c r="N89" i="7"/>
  <c r="N23" i="7"/>
  <c r="N3" i="7"/>
  <c r="N57" i="7"/>
  <c r="N25" i="7"/>
  <c r="N35" i="7"/>
  <c r="N16" i="7"/>
  <c r="N78" i="7"/>
  <c r="N21" i="7"/>
  <c r="N46" i="7"/>
  <c r="N31" i="7"/>
  <c r="N83" i="7"/>
  <c r="N86" i="7"/>
  <c r="N91" i="7"/>
  <c r="N13" i="7"/>
  <c r="N65" i="7"/>
  <c r="N26" i="7"/>
  <c r="N84" i="7"/>
  <c r="N60" i="7"/>
  <c r="N72" i="7"/>
  <c r="N34" i="7"/>
  <c r="N64" i="7"/>
  <c r="N70" i="7"/>
  <c r="N8" i="7"/>
  <c r="N66" i="7"/>
  <c r="N77" i="7"/>
  <c r="N54" i="7"/>
  <c r="N44" i="7"/>
  <c r="N22" i="7"/>
  <c r="N50" i="7"/>
  <c r="N61" i="7"/>
  <c r="N59" i="7"/>
  <c r="N9" i="7"/>
  <c r="N45" i="7"/>
  <c r="N28" i="7"/>
  <c r="N76" i="7"/>
  <c r="N15" i="7"/>
  <c r="N55" i="7"/>
  <c r="N68" i="7"/>
  <c r="N11" i="7"/>
  <c r="N4" i="7"/>
  <c r="N71" i="7"/>
  <c r="N14" i="7"/>
  <c r="N41" i="7"/>
  <c r="N47" i="7"/>
  <c r="N20" i="7"/>
  <c r="N88" i="7"/>
  <c r="N6" i="7"/>
  <c r="N56" i="7"/>
  <c r="N24" i="7"/>
  <c r="N74" i="7"/>
  <c r="N62" i="7"/>
  <c r="U29" i="4"/>
  <c r="L29" i="4" s="1"/>
  <c r="S43" i="4"/>
  <c r="J43" i="4" s="1"/>
  <c r="S2" i="4"/>
  <c r="J2" i="4" s="1"/>
  <c r="S23" i="4"/>
  <c r="J23" i="4" s="1"/>
  <c r="U23" i="4"/>
  <c r="L23" i="4" s="1"/>
  <c r="U49" i="4"/>
  <c r="L49" i="4" s="1"/>
  <c r="U37" i="4"/>
  <c r="L37" i="4" s="1"/>
  <c r="S42" i="4"/>
  <c r="T42" i="4" s="1"/>
  <c r="K42" i="4" s="1"/>
  <c r="U19" i="4"/>
  <c r="L19" i="4" s="1"/>
  <c r="U4" i="4"/>
  <c r="L4" i="4" s="1"/>
  <c r="S35" i="4"/>
  <c r="T35" i="4" s="1"/>
  <c r="K35" i="4" s="1"/>
  <c r="S52" i="4"/>
  <c r="T52" i="4" s="1"/>
  <c r="K52" i="4" s="1"/>
  <c r="U15" i="4"/>
  <c r="L15" i="4" s="1"/>
  <c r="S3" i="4"/>
  <c r="J3" i="4" s="1"/>
  <c r="U6" i="4"/>
  <c r="L6" i="4" s="1"/>
  <c r="S17" i="4"/>
  <c r="T17" i="4" s="1"/>
  <c r="K17" i="4" s="1"/>
  <c r="U28" i="4"/>
  <c r="L28" i="4" s="1"/>
  <c r="S21" i="4"/>
  <c r="J21" i="4" s="1"/>
  <c r="S11" i="4"/>
  <c r="J11" i="4" s="1"/>
  <c r="S18" i="4"/>
  <c r="J18" i="4" s="1"/>
  <c r="S14" i="4"/>
  <c r="T14" i="4" s="1"/>
  <c r="K14" i="4" s="1"/>
  <c r="U2" i="4"/>
  <c r="L2" i="4" s="1"/>
  <c r="S48" i="4"/>
  <c r="J48" i="4" s="1"/>
  <c r="U40" i="4"/>
  <c r="L40" i="4" s="1"/>
  <c r="U11" i="4"/>
  <c r="L11" i="4" s="1"/>
  <c r="S27" i="4"/>
  <c r="T27" i="4" s="1"/>
  <c r="K27" i="4" s="1"/>
  <c r="S12" i="4"/>
  <c r="T12" i="4" s="1"/>
  <c r="K12" i="4" s="1"/>
  <c r="S54" i="4"/>
  <c r="J54" i="4" s="1"/>
  <c r="S50" i="4"/>
  <c r="T50" i="4" s="1"/>
  <c r="K50" i="4" s="1"/>
  <c r="S4" i="4"/>
  <c r="J4" i="4" s="1"/>
  <c r="S19" i="4"/>
  <c r="J19" i="4" s="1"/>
  <c r="S53" i="4"/>
  <c r="J53" i="4" s="1"/>
  <c r="S29" i="4"/>
  <c r="T29" i="4" s="1"/>
  <c r="K29" i="4" s="1"/>
  <c r="U43" i="4"/>
  <c r="L43" i="4" s="1"/>
  <c r="S6" i="4"/>
  <c r="T6" i="4" s="1"/>
  <c r="K6" i="4" s="1"/>
  <c r="U10" i="4"/>
  <c r="L10" i="4" s="1"/>
  <c r="S22" i="4"/>
  <c r="J22" i="4" s="1"/>
  <c r="S20" i="4"/>
  <c r="T20" i="4" s="1"/>
  <c r="K20" i="4" s="1"/>
  <c r="S8" i="4"/>
  <c r="T8" i="4" s="1"/>
  <c r="K8" i="4" s="1"/>
  <c r="U47" i="4"/>
  <c r="L47" i="4" s="1"/>
  <c r="S13" i="4"/>
  <c r="T13" i="4" s="1"/>
  <c r="K13" i="4" s="1"/>
  <c r="S10" i="4"/>
  <c r="T10" i="4" s="1"/>
  <c r="K10" i="4" s="1"/>
  <c r="U51" i="4"/>
  <c r="L51" i="4" s="1"/>
  <c r="U35" i="4"/>
  <c r="L35" i="4" s="1"/>
  <c r="U26" i="4"/>
  <c r="L26" i="4" s="1"/>
  <c r="U46" i="4"/>
  <c r="L46" i="4" s="1"/>
  <c r="S15" i="4"/>
  <c r="T15" i="4" s="1"/>
  <c r="K15" i="4" s="1"/>
  <c r="S51" i="4"/>
  <c r="T51" i="4" s="1"/>
  <c r="K51" i="4" s="1"/>
  <c r="U39" i="4"/>
  <c r="L39" i="4" s="1"/>
  <c r="S5" i="4"/>
  <c r="T5" i="4" s="1"/>
  <c r="K5" i="4" s="1"/>
  <c r="U50" i="4"/>
  <c r="L50" i="4" s="1"/>
  <c r="U33" i="4"/>
  <c r="L33" i="4" s="1"/>
  <c r="S33" i="4"/>
  <c r="J33" i="4" s="1"/>
  <c r="U31" i="4"/>
  <c r="L31" i="4" s="1"/>
  <c r="S37" i="4"/>
  <c r="T37" i="4" s="1"/>
  <c r="K37" i="4" s="1"/>
  <c r="U42" i="4"/>
  <c r="L42" i="4" s="1"/>
  <c r="U18" i="4"/>
  <c r="L18" i="4" s="1"/>
  <c r="U27" i="4"/>
  <c r="L27" i="4" s="1"/>
  <c r="S47" i="4"/>
  <c r="J47" i="4" s="1"/>
  <c r="U8" i="4"/>
  <c r="L8" i="4" s="1"/>
  <c r="U36" i="4"/>
  <c r="L36" i="4" s="1"/>
  <c r="U48" i="4"/>
  <c r="L48" i="4" s="1"/>
  <c r="U3" i="4"/>
  <c r="L3" i="4" s="1"/>
  <c r="U53" i="4"/>
  <c r="L53" i="4" s="1"/>
  <c r="S40" i="4"/>
  <c r="U5" i="4"/>
  <c r="L5" i="4" s="1"/>
  <c r="S45" i="4"/>
  <c r="T45" i="4" s="1"/>
  <c r="K45" i="4" s="1"/>
  <c r="S28" i="4"/>
  <c r="T28" i="4" s="1"/>
  <c r="K28" i="4" s="1"/>
  <c r="U17" i="4"/>
  <c r="L17" i="4" s="1"/>
  <c r="U25" i="4"/>
  <c r="L25" i="4" s="1"/>
  <c r="U20" i="4"/>
  <c r="L20" i="4" s="1"/>
  <c r="U14" i="4"/>
  <c r="L14" i="4" s="1"/>
  <c r="U12" i="4"/>
  <c r="L12" i="4" s="1"/>
  <c r="S32" i="4"/>
  <c r="J32" i="4" s="1"/>
  <c r="S7" i="4"/>
  <c r="T7" i="4" s="1"/>
  <c r="K7" i="4" s="1"/>
  <c r="S31" i="4"/>
  <c r="T31" i="4" s="1"/>
  <c r="K31" i="4" s="1"/>
  <c r="S46" i="4"/>
  <c r="J46" i="4" s="1"/>
  <c r="U21" i="4"/>
  <c r="L21" i="4" s="1"/>
  <c r="U22" i="4"/>
  <c r="L22" i="4" s="1"/>
  <c r="S26" i="4"/>
  <c r="J26" i="4" s="1"/>
  <c r="U45" i="4"/>
  <c r="L45" i="4" s="1"/>
  <c r="U52" i="4"/>
  <c r="L52" i="4" s="1"/>
  <c r="U32" i="4"/>
  <c r="L32" i="4" s="1"/>
  <c r="S49" i="4"/>
  <c r="S25" i="4"/>
  <c r="T25" i="4" s="1"/>
  <c r="K25" i="4" s="1"/>
  <c r="U7" i="4"/>
  <c r="L7" i="4" s="1"/>
  <c r="S39" i="4"/>
  <c r="T39" i="4" s="1"/>
  <c r="K39" i="4" s="1"/>
  <c r="S36" i="4"/>
  <c r="T36" i="4" s="1"/>
  <c r="K36" i="4" s="1"/>
  <c r="U13" i="4"/>
  <c r="L13" i="4" s="1"/>
  <c r="E30" i="2"/>
  <c r="X3" i="7"/>
  <c r="X2" i="7"/>
  <c r="X5" i="7"/>
  <c r="X4" i="7"/>
  <c r="X1" i="7"/>
  <c r="J9" i="4" l="1"/>
  <c r="T9" i="4"/>
  <c r="K9" i="4" s="1"/>
  <c r="J16" i="4"/>
  <c r="T16" i="4"/>
  <c r="K16" i="4" s="1"/>
  <c r="J30" i="4"/>
  <c r="T30" i="4"/>
  <c r="K30" i="4" s="1"/>
  <c r="J24" i="4"/>
  <c r="T24" i="4"/>
  <c r="K24" i="4" s="1"/>
  <c r="J34" i="4"/>
  <c r="T34" i="4"/>
  <c r="K34" i="4" s="1"/>
  <c r="J38" i="4"/>
  <c r="T38" i="4"/>
  <c r="K38" i="4" s="1"/>
  <c r="J44" i="4"/>
  <c r="T44" i="4"/>
  <c r="K44" i="4" s="1"/>
  <c r="J41" i="4"/>
  <c r="T41" i="4"/>
  <c r="K41" i="4" s="1"/>
  <c r="F3" i="9"/>
  <c r="D3" i="9"/>
  <c r="H3" i="9"/>
  <c r="G3" i="9"/>
  <c r="Y3" i="7"/>
  <c r="Z1" i="7" s="1"/>
  <c r="J31" i="6" s="1"/>
  <c r="Y2" i="7"/>
  <c r="Y5" i="7"/>
  <c r="Y4" i="7"/>
  <c r="Y1" i="7"/>
  <c r="T43" i="4"/>
  <c r="K43" i="4" s="1"/>
  <c r="M43" i="4" s="1"/>
  <c r="T21" i="4"/>
  <c r="K21" i="4" s="1"/>
  <c r="M21" i="4" s="1"/>
  <c r="T4" i="4"/>
  <c r="K4" i="4" s="1"/>
  <c r="M4" i="4" s="1"/>
  <c r="T3" i="4"/>
  <c r="K3" i="4" s="1"/>
  <c r="M3" i="4" s="1"/>
  <c r="J27" i="4"/>
  <c r="M27" i="4" s="1"/>
  <c r="J20" i="4"/>
  <c r="M20" i="4" s="1"/>
  <c r="J8" i="4"/>
  <c r="M8" i="4" s="1"/>
  <c r="T2" i="4"/>
  <c r="K2" i="4" s="1"/>
  <c r="M2" i="4" s="1"/>
  <c r="T33" i="4"/>
  <c r="K33" i="4" s="1"/>
  <c r="M33" i="4" s="1"/>
  <c r="T23" i="4"/>
  <c r="K23" i="4" s="1"/>
  <c r="M23" i="4" s="1"/>
  <c r="J42" i="4"/>
  <c r="M42" i="4" s="1"/>
  <c r="T18" i="4"/>
  <c r="K18" i="4" s="1"/>
  <c r="M18" i="4" s="1"/>
  <c r="J17" i="4"/>
  <c r="M17" i="4" s="1"/>
  <c r="T54" i="4"/>
  <c r="K54" i="4" s="1"/>
  <c r="M54" i="4" s="1"/>
  <c r="J35" i="4"/>
  <c r="M35" i="4" s="1"/>
  <c r="J6" i="4"/>
  <c r="M6" i="4" s="1"/>
  <c r="T48" i="4"/>
  <c r="K48" i="4" s="1"/>
  <c r="M48" i="4" s="1"/>
  <c r="J12" i="4"/>
  <c r="M12" i="4" s="1"/>
  <c r="T11" i="4"/>
  <c r="K11" i="4" s="1"/>
  <c r="M11" i="4" s="1"/>
  <c r="T19" i="4"/>
  <c r="K19" i="4" s="1"/>
  <c r="M19" i="4" s="1"/>
  <c r="T26" i="4"/>
  <c r="K26" i="4" s="1"/>
  <c r="M26" i="4" s="1"/>
  <c r="J28" i="4"/>
  <c r="M28" i="4" s="1"/>
  <c r="T53" i="4"/>
  <c r="K53" i="4" s="1"/>
  <c r="M53" i="4" s="1"/>
  <c r="J13" i="4"/>
  <c r="M13" i="4" s="1"/>
  <c r="T47" i="4"/>
  <c r="K47" i="4" s="1"/>
  <c r="M47" i="4" s="1"/>
  <c r="T46" i="4"/>
  <c r="K46" i="4" s="1"/>
  <c r="M46" i="4" s="1"/>
  <c r="J51" i="4"/>
  <c r="M51" i="4" s="1"/>
  <c r="J10" i="4"/>
  <c r="M10" i="4" s="1"/>
  <c r="J37" i="4"/>
  <c r="M37" i="4" s="1"/>
  <c r="J31" i="4"/>
  <c r="M31" i="4" s="1"/>
  <c r="J7" i="4"/>
  <c r="M7" i="4" s="1"/>
  <c r="J45" i="4"/>
  <c r="M45" i="4" s="1"/>
  <c r="J39" i="4"/>
  <c r="M39" i="4" s="1"/>
  <c r="J15" i="4"/>
  <c r="M15" i="4" s="1"/>
  <c r="T22" i="4"/>
  <c r="K22" i="4" s="1"/>
  <c r="M22" i="4" s="1"/>
  <c r="J14" i="4"/>
  <c r="M14" i="4" s="1"/>
  <c r="J50" i="4"/>
  <c r="M50" i="4" s="1"/>
  <c r="J29" i="4"/>
  <c r="M29" i="4" s="1"/>
  <c r="J52" i="4"/>
  <c r="M52" i="4" s="1"/>
  <c r="T32" i="4"/>
  <c r="K32" i="4" s="1"/>
  <c r="M32" i="4" s="1"/>
  <c r="J5" i="4"/>
  <c r="M5" i="4" s="1"/>
  <c r="J25" i="4"/>
  <c r="M25" i="4" s="1"/>
  <c r="M26" i="8"/>
  <c r="M27" i="8"/>
  <c r="J36" i="4"/>
  <c r="M36" i="4" s="1"/>
  <c r="J40" i="4"/>
  <c r="T40" i="4"/>
  <c r="K40" i="4" s="1"/>
  <c r="T49" i="4"/>
  <c r="K49" i="4" s="1"/>
  <c r="J49" i="4"/>
  <c r="M44" i="4" l="1"/>
  <c r="M34" i="4"/>
  <c r="M30" i="4"/>
  <c r="M9" i="4"/>
  <c r="M41" i="4"/>
  <c r="M38" i="4"/>
  <c r="M24" i="4"/>
  <c r="M16" i="4"/>
  <c r="M40" i="4"/>
  <c r="M49" i="4"/>
  <c r="D3" i="7"/>
  <c r="E3" i="7"/>
  <c r="G3" i="7"/>
  <c r="C3" i="7"/>
  <c r="H3" i="7"/>
  <c r="F3" i="7"/>
  <c r="B3" i="7" s="1"/>
  <c r="AA1" i="4" l="1"/>
  <c r="AE1" i="4" s="1"/>
  <c r="H98" i="7"/>
  <c r="H82" i="7"/>
  <c r="H70" i="7"/>
  <c r="H62" i="7"/>
  <c r="H54" i="7"/>
  <c r="G48" i="7"/>
  <c r="F43" i="7"/>
  <c r="F38" i="7"/>
  <c r="B38" i="7" s="1"/>
  <c r="F34" i="7"/>
  <c r="B34" i="7" s="1"/>
  <c r="F30" i="7"/>
  <c r="B30" i="7" s="1"/>
  <c r="G26" i="7"/>
  <c r="F23" i="7"/>
  <c r="B23" i="7" s="1"/>
  <c r="E20" i="7"/>
  <c r="F17" i="7"/>
  <c r="B17" i="7" s="1"/>
  <c r="H14" i="7"/>
  <c r="D12" i="7"/>
  <c r="F9" i="7"/>
  <c r="B9" i="7" s="1"/>
  <c r="H6" i="7"/>
  <c r="D4" i="7"/>
  <c r="G69" i="7"/>
  <c r="H48" i="7"/>
  <c r="H93" i="7"/>
  <c r="H77" i="7"/>
  <c r="G68" i="7"/>
  <c r="G60" i="7"/>
  <c r="G52" i="7"/>
  <c r="H46" i="7"/>
  <c r="G41" i="7"/>
  <c r="E37" i="7"/>
  <c r="E33" i="7"/>
  <c r="E29" i="7"/>
  <c r="G25" i="7"/>
  <c r="F22" i="7"/>
  <c r="B22" i="7" s="1"/>
  <c r="E19" i="7"/>
  <c r="G16" i="7"/>
  <c r="C14" i="7"/>
  <c r="E11" i="7"/>
  <c r="G8" i="7"/>
  <c r="C6" i="7"/>
  <c r="H99" i="7"/>
  <c r="G61" i="7"/>
  <c r="G38" i="7"/>
  <c r="H88" i="7"/>
  <c r="H73" i="7"/>
  <c r="H65" i="7"/>
  <c r="H57" i="7"/>
  <c r="G50" i="7"/>
  <c r="F45" i="7"/>
  <c r="H39" i="7"/>
  <c r="H35" i="7"/>
  <c r="H31" i="7"/>
  <c r="H27" i="7"/>
  <c r="G24" i="7"/>
  <c r="F21" i="7"/>
  <c r="B21" i="7" s="1"/>
  <c r="F18" i="7"/>
  <c r="B18" i="7" s="1"/>
  <c r="H15" i="7"/>
  <c r="D13" i="7"/>
  <c r="F10" i="7"/>
  <c r="B10" i="7" s="1"/>
  <c r="H7" i="7"/>
  <c r="D5" i="7"/>
  <c r="G67" i="7"/>
  <c r="G47" i="7"/>
  <c r="G37" i="7"/>
  <c r="H22" i="7"/>
  <c r="G11" i="7"/>
  <c r="H90" i="7"/>
  <c r="H72" i="7"/>
  <c r="H60" i="7"/>
  <c r="F51" i="7"/>
  <c r="F52" i="7" s="1"/>
  <c r="G44" i="7"/>
  <c r="F37" i="7"/>
  <c r="B37" i="7" s="1"/>
  <c r="F32" i="7"/>
  <c r="B32" i="7" s="1"/>
  <c r="F27" i="7"/>
  <c r="B27" i="7" s="1"/>
  <c r="G22" i="7"/>
  <c r="H18" i="7"/>
  <c r="F15" i="7"/>
  <c r="B15" i="7" s="1"/>
  <c r="F11" i="7"/>
  <c r="B11" i="7" s="1"/>
  <c r="D8" i="7"/>
  <c r="H4" i="7"/>
  <c r="G65" i="7"/>
  <c r="G39" i="7"/>
  <c r="H81" i="7"/>
  <c r="G66" i="7"/>
  <c r="G56" i="7"/>
  <c r="F48" i="7"/>
  <c r="F40" i="7"/>
  <c r="B40" i="7" s="1"/>
  <c r="E35" i="7"/>
  <c r="E30" i="7"/>
  <c r="H24" i="7"/>
  <c r="H20" i="7"/>
  <c r="E17" i="7"/>
  <c r="E13" i="7"/>
  <c r="C10" i="7"/>
  <c r="G6" i="7"/>
  <c r="H91" i="7"/>
  <c r="F50" i="7"/>
  <c r="H92" i="7"/>
  <c r="H71" i="7"/>
  <c r="H61" i="7"/>
  <c r="H51" i="7"/>
  <c r="H43" i="7"/>
  <c r="H37" i="7"/>
  <c r="H32" i="7"/>
  <c r="D27" i="7"/>
  <c r="D28" i="7" s="1"/>
  <c r="D23" i="7"/>
  <c r="D19" i="7"/>
  <c r="D15" i="7"/>
  <c r="H11" i="7"/>
  <c r="F8" i="7"/>
  <c r="B8" i="7" s="1"/>
  <c r="F4" i="7"/>
  <c r="B4" i="7" s="1"/>
  <c r="G59" i="7"/>
  <c r="H40" i="7"/>
  <c r="G19" i="7"/>
  <c r="E6" i="7"/>
  <c r="C7" i="7"/>
  <c r="E25" i="7"/>
  <c r="G13" i="7"/>
  <c r="C15" i="7"/>
  <c r="F24" i="7"/>
  <c r="B24" i="7" s="1"/>
  <c r="C13" i="7"/>
  <c r="G34" i="7"/>
  <c r="E12" i="7"/>
  <c r="H58" i="7"/>
  <c r="F19" i="7"/>
  <c r="B19" i="7" s="1"/>
  <c r="F5" i="7"/>
  <c r="B5" i="7" s="1"/>
  <c r="G70" i="7"/>
  <c r="F44" i="7"/>
  <c r="E23" i="7"/>
  <c r="G12" i="7"/>
  <c r="C4" i="7"/>
  <c r="H80" i="7"/>
  <c r="F41" i="7"/>
  <c r="E26" i="7"/>
  <c r="F16" i="7"/>
  <c r="B16" i="7" s="1"/>
  <c r="F6" i="7"/>
  <c r="B6" i="7" s="1"/>
  <c r="E14" i="7"/>
  <c r="D22" i="7"/>
  <c r="G27" i="7"/>
  <c r="H26" i="7"/>
  <c r="H94" i="7"/>
  <c r="H68" i="7"/>
  <c r="H56" i="7"/>
  <c r="H45" i="7"/>
  <c r="F36" i="7"/>
  <c r="B36" i="7" s="1"/>
  <c r="F29" i="7"/>
  <c r="B29" i="7" s="1"/>
  <c r="E24" i="7"/>
  <c r="D18" i="7"/>
  <c r="F13" i="7"/>
  <c r="B13" i="7" s="1"/>
  <c r="H8" i="7"/>
  <c r="H95" i="7"/>
  <c r="G51" i="7"/>
  <c r="H85" i="7"/>
  <c r="G64" i="7"/>
  <c r="H50" i="7"/>
  <c r="H42" i="7"/>
  <c r="E34" i="7"/>
  <c r="E27" i="7"/>
  <c r="G21" i="7"/>
  <c r="C16" i="7"/>
  <c r="C12" i="7"/>
  <c r="E7" i="7"/>
  <c r="H79" i="7"/>
  <c r="H100" i="7"/>
  <c r="H76" i="7"/>
  <c r="H59" i="7"/>
  <c r="H47" i="7"/>
  <c r="H38" i="7"/>
  <c r="H30" i="7"/>
  <c r="F25" i="7"/>
  <c r="B25" i="7" s="1"/>
  <c r="H19" i="7"/>
  <c r="F14" i="7"/>
  <c r="B14" i="7" s="1"/>
  <c r="H9" i="7"/>
  <c r="H5" i="7"/>
  <c r="G53" i="7"/>
  <c r="G29" i="7"/>
  <c r="C9" i="7"/>
  <c r="G36" i="7"/>
  <c r="C19" i="7"/>
  <c r="C20" i="7" s="1"/>
  <c r="G5" i="7"/>
  <c r="E21" i="7"/>
  <c r="G7" i="7"/>
  <c r="F20" i="7"/>
  <c r="B20" i="7" s="1"/>
  <c r="H86" i="7"/>
  <c r="H66" i="7"/>
  <c r="H52" i="7"/>
  <c r="H41" i="7"/>
  <c r="F35" i="7"/>
  <c r="B35" i="7" s="1"/>
  <c r="F28" i="7"/>
  <c r="B28" i="7" s="1"/>
  <c r="H21" i="7"/>
  <c r="H16" i="7"/>
  <c r="H12" i="7"/>
  <c r="F7" i="7"/>
  <c r="B7" i="7" s="1"/>
  <c r="H87" i="7"/>
  <c r="G43" i="7"/>
  <c r="G74" i="7"/>
  <c r="G75" i="7" s="1"/>
  <c r="G62" i="7"/>
  <c r="G49" i="7"/>
  <c r="E39" i="7"/>
  <c r="E40" i="7" s="1"/>
  <c r="E32" i="7"/>
  <c r="F26" i="7"/>
  <c r="B26" i="7" s="1"/>
  <c r="D20" i="7"/>
  <c r="E15" i="7"/>
  <c r="G10" i="7"/>
  <c r="E5" i="7"/>
  <c r="G71" i="7"/>
  <c r="H96" i="7"/>
  <c r="H69" i="7"/>
  <c r="H55" i="7"/>
  <c r="G46" i="7"/>
  <c r="H36" i="7"/>
  <c r="H29" i="7"/>
  <c r="H23" i="7"/>
  <c r="H17" i="7"/>
  <c r="H13" i="7"/>
  <c r="D9" i="7"/>
  <c r="H83" i="7"/>
  <c r="F46" i="7"/>
  <c r="D26" i="7"/>
  <c r="G23" i="7"/>
  <c r="G32" i="7"/>
  <c r="E16" i="7"/>
  <c r="G35" i="7"/>
  <c r="E18" i="7"/>
  <c r="C5" i="7"/>
  <c r="E4" i="7"/>
  <c r="H78" i="7"/>
  <c r="H64" i="7"/>
  <c r="H49" i="7"/>
  <c r="G40" i="7"/>
  <c r="F33" i="7"/>
  <c r="B33" i="7" s="1"/>
  <c r="H25" i="7"/>
  <c r="D21" i="7"/>
  <c r="D16" i="7"/>
  <c r="H10" i="7"/>
  <c r="D6" i="7"/>
  <c r="H75" i="7"/>
  <c r="H97" i="7"/>
  <c r="G72" i="7"/>
  <c r="G58" i="7"/>
  <c r="G45" i="7"/>
  <c r="E38" i="7"/>
  <c r="E31" i="7"/>
  <c r="D24" i="7"/>
  <c r="G18" i="7"/>
  <c r="G14" i="7"/>
  <c r="E9" i="7"/>
  <c r="G4" i="7"/>
  <c r="G55" i="7"/>
  <c r="H84" i="7"/>
  <c r="H67" i="7"/>
  <c r="H53" i="7"/>
  <c r="G42" i="7"/>
  <c r="H34" i="7"/>
  <c r="H28" i="7"/>
  <c r="E22" i="7"/>
  <c r="D17" i="7"/>
  <c r="F12" i="7"/>
  <c r="B12" i="7" s="1"/>
  <c r="D7" i="7"/>
  <c r="G73" i="7"/>
  <c r="F42" i="7"/>
  <c r="C17" i="7"/>
  <c r="G17" i="7"/>
  <c r="G28" i="7"/>
  <c r="C11" i="7"/>
  <c r="G31" i="7"/>
  <c r="G15" i="7"/>
  <c r="G30" i="7"/>
  <c r="H74" i="7"/>
  <c r="F47" i="7"/>
  <c r="F39" i="7"/>
  <c r="B39" i="7" s="1"/>
  <c r="F31" i="7"/>
  <c r="B31" i="7" s="1"/>
  <c r="D25" i="7"/>
  <c r="D14" i="7"/>
  <c r="D10" i="7"/>
  <c r="G57" i="7"/>
  <c r="H89" i="7"/>
  <c r="G54" i="7"/>
  <c r="E36" i="7"/>
  <c r="E28" i="7"/>
  <c r="C18" i="7"/>
  <c r="C8" i="7"/>
  <c r="H44" i="7"/>
  <c r="H63" i="7"/>
  <c r="F49" i="7"/>
  <c r="H33" i="7"/>
  <c r="G20" i="7"/>
  <c r="D11" i="7"/>
  <c r="G63" i="7"/>
  <c r="G33" i="7"/>
  <c r="G9" i="7"/>
  <c r="E8" i="7"/>
  <c r="E10" i="7"/>
  <c r="AA3" i="4"/>
  <c r="AA2" i="4"/>
  <c r="AD1" i="4" l="1"/>
  <c r="AC1" i="4"/>
  <c r="AF1" i="4"/>
  <c r="U35" i="2" s="1"/>
  <c r="AG1" i="4"/>
  <c r="S35" i="2" s="1"/>
  <c r="AC3" i="4"/>
  <c r="AG3" i="4"/>
  <c r="AE3" i="4"/>
  <c r="T37" i="2" s="1"/>
  <c r="AF3" i="4"/>
  <c r="U37" i="2" s="1"/>
  <c r="AG2" i="4"/>
  <c r="S36" i="2" s="1"/>
  <c r="AE2" i="4"/>
  <c r="AF2" i="4"/>
  <c r="U36" i="2" s="1"/>
  <c r="D44" i="7"/>
  <c r="D46" i="7"/>
  <c r="D35" i="7"/>
  <c r="D33" i="7"/>
  <c r="D42" i="7"/>
  <c r="D31" i="7"/>
  <c r="D36" i="7"/>
  <c r="D47" i="7"/>
  <c r="D45" i="7"/>
  <c r="D43" i="7"/>
  <c r="D30" i="7"/>
  <c r="D37" i="7"/>
  <c r="D50" i="7"/>
  <c r="D40" i="7"/>
  <c r="D29" i="7"/>
  <c r="D38" i="7"/>
  <c r="D39" i="7"/>
  <c r="D51" i="7"/>
  <c r="D52" i="7" s="1"/>
  <c r="D34" i="7"/>
  <c r="D32" i="7"/>
  <c r="D48" i="7"/>
  <c r="D49" i="7"/>
  <c r="D41" i="7"/>
  <c r="E46" i="7"/>
  <c r="B46" i="7" s="1"/>
  <c r="E66" i="7"/>
  <c r="E63" i="7"/>
  <c r="E43" i="7"/>
  <c r="B43" i="7" s="1"/>
  <c r="E53" i="7"/>
  <c r="E48" i="7"/>
  <c r="B48" i="7" s="1"/>
  <c r="E62" i="7"/>
  <c r="E59" i="7"/>
  <c r="E54" i="7"/>
  <c r="E52" i="7"/>
  <c r="E56" i="7"/>
  <c r="E60" i="7"/>
  <c r="E49" i="7"/>
  <c r="B49" i="7" s="1"/>
  <c r="E58" i="7"/>
  <c r="E47" i="7"/>
  <c r="B47" i="7" s="1"/>
  <c r="E45" i="7"/>
  <c r="B45" i="7" s="1"/>
  <c r="E64" i="7"/>
  <c r="E44" i="7"/>
  <c r="B44" i="7" s="1"/>
  <c r="E57" i="7"/>
  <c r="E65" i="7"/>
  <c r="E67" i="7"/>
  <c r="E68" i="7" s="1"/>
  <c r="E55" i="7"/>
  <c r="E50" i="7"/>
  <c r="B50" i="7" s="1"/>
  <c r="E61" i="7"/>
  <c r="E42" i="7"/>
  <c r="B42" i="7" s="1"/>
  <c r="E41" i="7"/>
  <c r="B41" i="7" s="1"/>
  <c r="E51" i="7"/>
  <c r="B51" i="7" s="1"/>
  <c r="C29" i="7"/>
  <c r="C25" i="7"/>
  <c r="C21" i="7"/>
  <c r="C35" i="7"/>
  <c r="C36" i="7" s="1"/>
  <c r="C34" i="7"/>
  <c r="C32" i="7"/>
  <c r="C30" i="7"/>
  <c r="C33" i="7"/>
  <c r="C31" i="7"/>
  <c r="C27" i="7"/>
  <c r="C23" i="7"/>
  <c r="C28" i="7"/>
  <c r="C26" i="7"/>
  <c r="C24" i="7"/>
  <c r="C22" i="7"/>
  <c r="G86" i="7"/>
  <c r="G79" i="7"/>
  <c r="G92" i="7"/>
  <c r="G98" i="7"/>
  <c r="G88" i="7"/>
  <c r="G99" i="7"/>
  <c r="G83" i="7"/>
  <c r="G82" i="7"/>
  <c r="G77" i="7"/>
  <c r="G100" i="7"/>
  <c r="G90" i="7"/>
  <c r="G93" i="7"/>
  <c r="G87" i="7"/>
  <c r="G96" i="7"/>
  <c r="G84" i="7"/>
  <c r="G94" i="7"/>
  <c r="G78" i="7"/>
  <c r="G91" i="7"/>
  <c r="G85" i="7"/>
  <c r="G80" i="7"/>
  <c r="G76" i="7"/>
  <c r="G81" i="7"/>
  <c r="G89" i="7"/>
  <c r="G95" i="7"/>
  <c r="G97" i="7"/>
  <c r="F58" i="7"/>
  <c r="B58" i="7" s="1"/>
  <c r="F60" i="7"/>
  <c r="B60" i="7" s="1"/>
  <c r="F87" i="7"/>
  <c r="B87" i="7" s="1"/>
  <c r="F89" i="7"/>
  <c r="B89" i="7" s="1"/>
  <c r="F76" i="7"/>
  <c r="B76" i="7" s="1"/>
  <c r="F69" i="7"/>
  <c r="B69" i="7" s="1"/>
  <c r="F94" i="7"/>
  <c r="B94" i="7" s="1"/>
  <c r="F66" i="7"/>
  <c r="B66" i="7" s="1"/>
  <c r="F61" i="7"/>
  <c r="B61" i="7" s="1"/>
  <c r="F62" i="7"/>
  <c r="B62" i="7" s="1"/>
  <c r="F55" i="7"/>
  <c r="B55" i="7" s="1"/>
  <c r="F75" i="7"/>
  <c r="B75" i="7" s="1"/>
  <c r="F67" i="7"/>
  <c r="B67" i="7" s="1"/>
  <c r="F71" i="7"/>
  <c r="B71" i="7" s="1"/>
  <c r="F68" i="7"/>
  <c r="B68" i="7" s="1"/>
  <c r="B52" i="7"/>
  <c r="F93" i="7"/>
  <c r="B93" i="7" s="1"/>
  <c r="F90" i="7"/>
  <c r="B90" i="7" s="1"/>
  <c r="F70" i="7"/>
  <c r="B70" i="7" s="1"/>
  <c r="F54" i="7"/>
  <c r="B54" i="7" s="1"/>
  <c r="F65" i="7"/>
  <c r="B65" i="7" s="1"/>
  <c r="F73" i="7"/>
  <c r="B73" i="7" s="1"/>
  <c r="F64" i="7"/>
  <c r="B64" i="7" s="1"/>
  <c r="F53" i="7"/>
  <c r="B53" i="7" s="1"/>
  <c r="F79" i="7"/>
  <c r="B79" i="7" s="1"/>
  <c r="F74" i="7"/>
  <c r="B74" i="7" s="1"/>
  <c r="F86" i="7"/>
  <c r="B86" i="7" s="1"/>
  <c r="F63" i="7"/>
  <c r="B63" i="7" s="1"/>
  <c r="F99" i="7"/>
  <c r="F85" i="7"/>
  <c r="B85" i="7" s="1"/>
  <c r="F59" i="7"/>
  <c r="B59" i="7" s="1"/>
  <c r="F77" i="7"/>
  <c r="B77" i="7" s="1"/>
  <c r="F84" i="7"/>
  <c r="B84" i="7" s="1"/>
  <c r="F57" i="7"/>
  <c r="B57" i="7" s="1"/>
  <c r="F80" i="7"/>
  <c r="B80" i="7" s="1"/>
  <c r="F97" i="7"/>
  <c r="B97" i="7" s="1"/>
  <c r="F96" i="7"/>
  <c r="B96" i="7" s="1"/>
  <c r="F78" i="7"/>
  <c r="B78" i="7" s="1"/>
  <c r="F72" i="7"/>
  <c r="B72" i="7" s="1"/>
  <c r="F56" i="7"/>
  <c r="B56" i="7" s="1"/>
  <c r="F95" i="7"/>
  <c r="B95" i="7" s="1"/>
  <c r="F83" i="7"/>
  <c r="B83" i="7" s="1"/>
  <c r="F88" i="7"/>
  <c r="B88" i="7" s="1"/>
  <c r="F98" i="7"/>
  <c r="B98" i="7" s="1"/>
  <c r="F92" i="7"/>
  <c r="B92" i="7" s="1"/>
  <c r="F82" i="7"/>
  <c r="B82" i="7" s="1"/>
  <c r="F81" i="7"/>
  <c r="B81" i="7" s="1"/>
  <c r="F91" i="7"/>
  <c r="B91" i="7" s="1"/>
  <c r="S37" i="2"/>
  <c r="T35" i="2"/>
  <c r="AB1" i="4"/>
  <c r="AB3" i="4"/>
  <c r="AC2" i="4"/>
  <c r="AD3" i="4"/>
  <c r="AB2" i="4"/>
  <c r="AD2" i="4"/>
  <c r="T36" i="2"/>
  <c r="E95" i="7" l="1"/>
  <c r="E85" i="7"/>
  <c r="E99" i="7"/>
  <c r="E83" i="7"/>
  <c r="E98" i="7"/>
  <c r="E86" i="7"/>
  <c r="E93" i="7"/>
  <c r="E100" i="7"/>
  <c r="E97" i="7"/>
  <c r="E73" i="7"/>
  <c r="E87" i="7"/>
  <c r="E71" i="7"/>
  <c r="E89" i="7"/>
  <c r="E81" i="7"/>
  <c r="E94" i="7"/>
  <c r="E92" i="7"/>
  <c r="E74" i="7"/>
  <c r="E82" i="7"/>
  <c r="E91" i="7"/>
  <c r="E77" i="7"/>
  <c r="E72" i="7"/>
  <c r="E79" i="7"/>
  <c r="E84" i="7"/>
  <c r="E78" i="7"/>
  <c r="E70" i="7"/>
  <c r="E88" i="7"/>
  <c r="E69" i="7"/>
  <c r="E96" i="7"/>
  <c r="E75" i="7"/>
  <c r="E90" i="7"/>
  <c r="E80" i="7"/>
  <c r="E76" i="7"/>
  <c r="F100" i="7"/>
  <c r="B100" i="7" s="1"/>
  <c r="B99" i="7"/>
  <c r="C47" i="7"/>
  <c r="C43" i="7"/>
  <c r="C39" i="7"/>
  <c r="C48" i="7"/>
  <c r="C51" i="7"/>
  <c r="C52" i="7" s="1"/>
  <c r="C49" i="7"/>
  <c r="C38" i="7"/>
  <c r="C42" i="7"/>
  <c r="C50" i="7"/>
  <c r="C37" i="7"/>
  <c r="C45" i="7"/>
  <c r="C44" i="7"/>
  <c r="C40" i="7"/>
  <c r="C46" i="7"/>
  <c r="C41" i="7"/>
  <c r="D66" i="7"/>
  <c r="D74" i="7"/>
  <c r="D54" i="7"/>
  <c r="D63" i="7"/>
  <c r="D67" i="7"/>
  <c r="D57" i="7"/>
  <c r="D68" i="7"/>
  <c r="D65" i="7"/>
  <c r="D60" i="7"/>
  <c r="D58" i="7"/>
  <c r="D62" i="7"/>
  <c r="D61" i="7"/>
  <c r="D70" i="7"/>
  <c r="D75" i="7"/>
  <c r="D76" i="7" s="1"/>
  <c r="D69" i="7"/>
  <c r="D59" i="7"/>
  <c r="D71" i="7"/>
  <c r="D64" i="7"/>
  <c r="D73" i="7"/>
  <c r="D56" i="7"/>
  <c r="D55" i="7"/>
  <c r="D72" i="7"/>
  <c r="D53" i="7"/>
  <c r="Q29" i="2"/>
  <c r="H3" i="4"/>
  <c r="M28" i="8"/>
  <c r="J34" i="6"/>
  <c r="D3" i="4"/>
  <c r="F3" i="4"/>
  <c r="E3" i="4"/>
  <c r="Q30" i="2"/>
  <c r="G3" i="4"/>
  <c r="C3" i="4"/>
  <c r="D12" i="4" s="1"/>
  <c r="B72" i="3" l="1"/>
  <c r="B3" i="4"/>
  <c r="D91" i="7"/>
  <c r="D81" i="7"/>
  <c r="D97" i="7"/>
  <c r="D82" i="7"/>
  <c r="D90" i="7"/>
  <c r="D83" i="7"/>
  <c r="D95" i="7"/>
  <c r="D85" i="7"/>
  <c r="D98" i="7"/>
  <c r="D79" i="7"/>
  <c r="D77" i="7"/>
  <c r="D94" i="7"/>
  <c r="D80" i="7"/>
  <c r="D96" i="7"/>
  <c r="D99" i="7"/>
  <c r="D100" i="7" s="1"/>
  <c r="D89" i="7"/>
  <c r="D84" i="7"/>
  <c r="D86" i="7"/>
  <c r="D78" i="7"/>
  <c r="D93" i="7"/>
  <c r="D92" i="7"/>
  <c r="D88" i="7"/>
  <c r="D87" i="7"/>
  <c r="C63" i="7"/>
  <c r="C65" i="7"/>
  <c r="C61" i="7"/>
  <c r="C53" i="7"/>
  <c r="C59" i="7"/>
  <c r="C62" i="7"/>
  <c r="C64" i="7"/>
  <c r="C58" i="7"/>
  <c r="C54" i="7"/>
  <c r="C55" i="7"/>
  <c r="C56" i="7"/>
  <c r="C66" i="7"/>
  <c r="C67" i="7"/>
  <c r="C68" i="7" s="1"/>
  <c r="C60" i="7"/>
  <c r="C57" i="7"/>
  <c r="J35" i="6"/>
  <c r="Q31" i="2"/>
  <c r="H73" i="4"/>
  <c r="G5" i="4"/>
  <c r="E9" i="4"/>
  <c r="H20" i="4"/>
  <c r="E15" i="4"/>
  <c r="H49" i="4"/>
  <c r="G6" i="4"/>
  <c r="D13" i="4"/>
  <c r="G36" i="4"/>
  <c r="H42" i="4"/>
  <c r="H52" i="4"/>
  <c r="D8" i="4"/>
  <c r="H36" i="4"/>
  <c r="H5" i="4"/>
  <c r="F48" i="4"/>
  <c r="H37" i="4"/>
  <c r="E31" i="4"/>
  <c r="G55" i="4"/>
  <c r="F34" i="4"/>
  <c r="H43" i="4"/>
  <c r="E5" i="4"/>
  <c r="G51" i="4"/>
  <c r="E27" i="4"/>
  <c r="H65" i="4"/>
  <c r="H78" i="4"/>
  <c r="H94" i="4"/>
  <c r="H100" i="4"/>
  <c r="H79" i="4"/>
  <c r="H95" i="4"/>
  <c r="H81" i="4"/>
  <c r="H85" i="4"/>
  <c r="G72" i="4"/>
  <c r="C19" i="4"/>
  <c r="C20" i="4" s="1"/>
  <c r="C31" i="4" s="1"/>
  <c r="H48" i="4"/>
  <c r="D23" i="4"/>
  <c r="G58" i="4"/>
  <c r="G11" i="4"/>
  <c r="G4" i="4"/>
  <c r="F45" i="4"/>
  <c r="F19" i="4"/>
  <c r="H24" i="4"/>
  <c r="F8" i="4"/>
  <c r="H40" i="4"/>
  <c r="H74" i="4"/>
  <c r="H16" i="4"/>
  <c r="H11" i="4"/>
  <c r="F35" i="4"/>
  <c r="G65" i="4"/>
  <c r="G73" i="4"/>
  <c r="D10" i="4"/>
  <c r="F20" i="4"/>
  <c r="C9" i="4"/>
  <c r="H50" i="4"/>
  <c r="C11" i="4"/>
  <c r="G71" i="4"/>
  <c r="H47" i="4"/>
  <c r="C16" i="4"/>
  <c r="F22" i="4"/>
  <c r="G24" i="4"/>
  <c r="F9" i="4"/>
  <c r="F29" i="4"/>
  <c r="E36" i="4"/>
  <c r="C15" i="4"/>
  <c r="G59" i="4"/>
  <c r="F25" i="4"/>
  <c r="C8" i="4"/>
  <c r="E21" i="4"/>
  <c r="H63" i="4"/>
  <c r="H38" i="4"/>
  <c r="G25" i="4"/>
  <c r="E26" i="4"/>
  <c r="F5" i="4"/>
  <c r="G26" i="4"/>
  <c r="E23" i="4"/>
  <c r="F49" i="4"/>
  <c r="H22" i="4"/>
  <c r="H41" i="4"/>
  <c r="G7" i="4"/>
  <c r="C7" i="4"/>
  <c r="C14" i="4"/>
  <c r="H53" i="4"/>
  <c r="H21" i="4"/>
  <c r="H27" i="4"/>
  <c r="H23" i="4"/>
  <c r="H72" i="4"/>
  <c r="F11" i="4"/>
  <c r="G34" i="4"/>
  <c r="D6" i="4"/>
  <c r="G22" i="4"/>
  <c r="C10" i="4"/>
  <c r="H34" i="4"/>
  <c r="G42" i="4"/>
  <c r="G21" i="4"/>
  <c r="F51" i="4"/>
  <c r="D14" i="4"/>
  <c r="H60" i="4"/>
  <c r="F13" i="4"/>
  <c r="H75" i="4"/>
  <c r="G12" i="4"/>
  <c r="F7" i="4"/>
  <c r="G54" i="4"/>
  <c r="H4" i="4"/>
  <c r="E25" i="4"/>
  <c r="H45" i="4"/>
  <c r="C5" i="4"/>
  <c r="G31" i="4"/>
  <c r="E11" i="4"/>
  <c r="C18" i="4"/>
  <c r="F6" i="4"/>
  <c r="H82" i="4"/>
  <c r="H98" i="4"/>
  <c r="H77" i="4"/>
  <c r="H83" i="4"/>
  <c r="H99" i="4"/>
  <c r="H93" i="4"/>
  <c r="H97" i="4"/>
  <c r="G70" i="4"/>
  <c r="D15" i="4"/>
  <c r="G30" i="4"/>
  <c r="H54" i="4"/>
  <c r="G64" i="4"/>
  <c r="H7" i="4"/>
  <c r="G47" i="4"/>
  <c r="H86" i="4"/>
  <c r="H89" i="4"/>
  <c r="H76" i="4"/>
  <c r="H90" i="4"/>
  <c r="G74" i="4"/>
  <c r="G75" i="4" s="1"/>
  <c r="G83" i="4" s="1"/>
  <c r="H96" i="4"/>
  <c r="F40" i="4"/>
  <c r="G8" i="4"/>
  <c r="E20" i="4"/>
  <c r="H30" i="4"/>
  <c r="F33" i="4"/>
  <c r="E12" i="4"/>
  <c r="H33" i="4"/>
  <c r="G35" i="4"/>
  <c r="C12" i="4"/>
  <c r="H8" i="4"/>
  <c r="H28" i="4"/>
  <c r="C6" i="4"/>
  <c r="G41" i="4"/>
  <c r="G43" i="4"/>
  <c r="G48" i="4"/>
  <c r="E38" i="4"/>
  <c r="G69" i="4"/>
  <c r="F4" i="4"/>
  <c r="E29" i="4"/>
  <c r="D11" i="4"/>
  <c r="D22" i="4"/>
  <c r="D25" i="4"/>
  <c r="H55" i="4"/>
  <c r="H62" i="4"/>
  <c r="F26" i="4"/>
  <c r="G63" i="4"/>
  <c r="H70" i="4"/>
  <c r="D24" i="4"/>
  <c r="G16" i="4"/>
  <c r="D27" i="4"/>
  <c r="F15" i="4"/>
  <c r="G17" i="4"/>
  <c r="G32" i="4"/>
  <c r="F36" i="4"/>
  <c r="H39" i="4"/>
  <c r="F14" i="4"/>
  <c r="E24" i="4"/>
  <c r="D4" i="4"/>
  <c r="G53" i="4"/>
  <c r="F46" i="4"/>
  <c r="G50" i="4"/>
  <c r="F27" i="4"/>
  <c r="G28" i="4"/>
  <c r="G9" i="4"/>
  <c r="G52" i="4"/>
  <c r="F37" i="4"/>
  <c r="H84" i="4"/>
  <c r="H87" i="4"/>
  <c r="H80" i="4"/>
  <c r="G68" i="4"/>
  <c r="D16" i="4"/>
  <c r="G62" i="4"/>
  <c r="G29" i="4"/>
  <c r="H46" i="4"/>
  <c r="H29" i="4"/>
  <c r="F28" i="4"/>
  <c r="F31" i="4"/>
  <c r="F17" i="4"/>
  <c r="E16" i="4"/>
  <c r="F23" i="4"/>
  <c r="G33" i="4"/>
  <c r="D7" i="4"/>
  <c r="H26" i="4"/>
  <c r="F30" i="4"/>
  <c r="E14" i="4"/>
  <c r="F42" i="4"/>
  <c r="F47" i="4"/>
  <c r="G56" i="4"/>
  <c r="H59" i="4"/>
  <c r="H67" i="4"/>
  <c r="C4" i="4"/>
  <c r="E17" i="4"/>
  <c r="G60" i="4"/>
  <c r="G13" i="4"/>
  <c r="G38" i="4"/>
  <c r="F43" i="4"/>
  <c r="E6" i="4"/>
  <c r="G61" i="4"/>
  <c r="H68" i="4"/>
  <c r="D18" i="4"/>
  <c r="H13" i="4"/>
  <c r="H18" i="4"/>
  <c r="E4" i="4"/>
  <c r="F50" i="4"/>
  <c r="F21" i="4"/>
  <c r="H56" i="4"/>
  <c r="E28" i="4"/>
  <c r="F38" i="4"/>
  <c r="H6" i="4"/>
  <c r="H31" i="4"/>
  <c r="H12" i="4"/>
  <c r="G46" i="4"/>
  <c r="H25" i="4"/>
  <c r="C17" i="4"/>
  <c r="G23" i="4"/>
  <c r="G19" i="4"/>
  <c r="C13" i="4"/>
  <c r="E22" i="4"/>
  <c r="G14" i="4"/>
  <c r="F10" i="4"/>
  <c r="H10" i="4"/>
  <c r="F44" i="4"/>
  <c r="H51" i="4"/>
  <c r="G39" i="4"/>
  <c r="G67" i="4"/>
  <c r="H14" i="4"/>
  <c r="H61" i="4"/>
  <c r="H88" i="4"/>
  <c r="G27" i="4"/>
  <c r="G44" i="4"/>
  <c r="E30" i="4"/>
  <c r="G57" i="4"/>
  <c r="E7" i="4"/>
  <c r="H57" i="4"/>
  <c r="D19" i="4"/>
  <c r="D17" i="4"/>
  <c r="G20" i="4"/>
  <c r="H58" i="4"/>
  <c r="D20" i="4"/>
  <c r="H71" i="4"/>
  <c r="G45" i="4"/>
  <c r="H69" i="4"/>
  <c r="H64" i="4"/>
  <c r="G40" i="4"/>
  <c r="E19" i="4"/>
  <c r="H35" i="4"/>
  <c r="E39" i="4"/>
  <c r="E40" i="4" s="1"/>
  <c r="E49" i="4" s="1"/>
  <c r="H32" i="4"/>
  <c r="H15" i="4"/>
  <c r="F24" i="4"/>
  <c r="D9" i="4"/>
  <c r="E33" i="4"/>
  <c r="F18" i="4"/>
  <c r="F41" i="4"/>
  <c r="H91" i="4"/>
  <c r="F32" i="4"/>
  <c r="G18" i="4"/>
  <c r="F16" i="4"/>
  <c r="E10" i="4"/>
  <c r="G49" i="4"/>
  <c r="D5" i="4"/>
  <c r="F12" i="4"/>
  <c r="H44" i="4"/>
  <c r="E18" i="4"/>
  <c r="H19" i="4"/>
  <c r="E35" i="4"/>
  <c r="G37" i="4"/>
  <c r="G10" i="4"/>
  <c r="H9" i="4"/>
  <c r="D21" i="4"/>
  <c r="H66" i="4"/>
  <c r="E34" i="4"/>
  <c r="D26" i="4"/>
  <c r="E32" i="4"/>
  <c r="H17" i="4"/>
  <c r="G66" i="4"/>
  <c r="F39" i="4"/>
  <c r="E13" i="4"/>
  <c r="G15" i="4"/>
  <c r="E37" i="4"/>
  <c r="E8" i="4"/>
  <c r="H92" i="4"/>
  <c r="B2" i="12" l="1"/>
  <c r="B2" i="10"/>
  <c r="B14" i="4"/>
  <c r="B16" i="4"/>
  <c r="B13" i="4"/>
  <c r="B12" i="4"/>
  <c r="B8" i="4"/>
  <c r="B6" i="4"/>
  <c r="B10" i="4"/>
  <c r="B15" i="4"/>
  <c r="B17" i="4"/>
  <c r="B18" i="4"/>
  <c r="B11" i="4"/>
  <c r="B7" i="4"/>
  <c r="B5" i="4"/>
  <c r="B9" i="4"/>
  <c r="B19" i="4"/>
  <c r="B4" i="4"/>
  <c r="B20" i="4"/>
  <c r="F52" i="4"/>
  <c r="F53" i="4" s="1"/>
  <c r="C71" i="7"/>
  <c r="C72" i="7"/>
  <c r="C79" i="7"/>
  <c r="C77" i="7"/>
  <c r="C75" i="7"/>
  <c r="C81" i="7"/>
  <c r="C78" i="7"/>
  <c r="C74" i="7"/>
  <c r="C70" i="7"/>
  <c r="C69" i="7"/>
  <c r="C83" i="7"/>
  <c r="C84" i="7" s="1"/>
  <c r="C80" i="7"/>
  <c r="C73" i="7"/>
  <c r="C76" i="7"/>
  <c r="C82" i="7"/>
  <c r="G79" i="4"/>
  <c r="C29" i="4"/>
  <c r="C33" i="4"/>
  <c r="E54" i="4"/>
  <c r="G98" i="4"/>
  <c r="C24" i="4"/>
  <c r="B24" i="4" s="1"/>
  <c r="C34" i="4"/>
  <c r="C32" i="4"/>
  <c r="C22" i="4"/>
  <c r="B22" i="4" s="1"/>
  <c r="C35" i="4"/>
  <c r="C36" i="4" s="1"/>
  <c r="C40" i="4" s="1"/>
  <c r="C21" i="4"/>
  <c r="B21" i="4" s="1"/>
  <c r="E47" i="4"/>
  <c r="C23" i="4"/>
  <c r="B23" i="4" s="1"/>
  <c r="C30" i="4"/>
  <c r="C27" i="4"/>
  <c r="B27" i="4" s="1"/>
  <c r="E60" i="4"/>
  <c r="E66" i="4"/>
  <c r="G92" i="4"/>
  <c r="G90" i="4"/>
  <c r="G94" i="4"/>
  <c r="E62" i="4"/>
  <c r="E52" i="4"/>
  <c r="E63" i="4"/>
  <c r="G89" i="4"/>
  <c r="G95" i="4"/>
  <c r="C26" i="4"/>
  <c r="B26" i="4" s="1"/>
  <c r="C28" i="4"/>
  <c r="C25" i="4"/>
  <c r="B25" i="4" s="1"/>
  <c r="E51" i="4"/>
  <c r="E50" i="4"/>
  <c r="G78" i="4"/>
  <c r="G85" i="4"/>
  <c r="G86" i="4"/>
  <c r="G88" i="4"/>
  <c r="G82" i="4"/>
  <c r="G91" i="4"/>
  <c r="D28" i="4"/>
  <c r="E44" i="4"/>
  <c r="E59" i="4"/>
  <c r="E57" i="4"/>
  <c r="E67" i="4"/>
  <c r="E68" i="4" s="1"/>
  <c r="E83" i="4" s="1"/>
  <c r="E65" i="4"/>
  <c r="G76" i="4"/>
  <c r="G81" i="4"/>
  <c r="G100" i="4"/>
  <c r="G84" i="4"/>
  <c r="G97" i="4"/>
  <c r="G87" i="4"/>
  <c r="E64" i="4"/>
  <c r="E58" i="4"/>
  <c r="E48" i="4"/>
  <c r="E45" i="4"/>
  <c r="E43" i="4"/>
  <c r="E41" i="4"/>
  <c r="E46" i="4"/>
  <c r="E56" i="4"/>
  <c r="E61" i="4"/>
  <c r="E55" i="4"/>
  <c r="E42" i="4"/>
  <c r="E53" i="4"/>
  <c r="G93" i="4"/>
  <c r="G77" i="4"/>
  <c r="G96" i="4"/>
  <c r="G80" i="4"/>
  <c r="G99" i="4"/>
  <c r="B28" i="4" l="1"/>
  <c r="F79" i="4"/>
  <c r="F54" i="4"/>
  <c r="F67" i="4"/>
  <c r="F99" i="4"/>
  <c r="F100" i="4" s="1"/>
  <c r="F88" i="4"/>
  <c r="F72" i="4"/>
  <c r="F95" i="4"/>
  <c r="F57" i="4"/>
  <c r="F86" i="4"/>
  <c r="F84" i="4"/>
  <c r="F62" i="4"/>
  <c r="F80" i="4"/>
  <c r="F76" i="4"/>
  <c r="F70" i="4"/>
  <c r="F64" i="4"/>
  <c r="F81" i="4"/>
  <c r="F98" i="4"/>
  <c r="F96" i="4"/>
  <c r="F59" i="4"/>
  <c r="F65" i="4"/>
  <c r="F83" i="4"/>
  <c r="F74" i="4"/>
  <c r="F66" i="4"/>
  <c r="F58" i="4"/>
  <c r="F89" i="4"/>
  <c r="F56" i="4"/>
  <c r="F91" i="4"/>
  <c r="F97" i="4"/>
  <c r="F61" i="4"/>
  <c r="F63" i="4"/>
  <c r="F71" i="4"/>
  <c r="F55" i="4"/>
  <c r="F77" i="4"/>
  <c r="F90" i="4"/>
  <c r="F94" i="4"/>
  <c r="F75" i="4"/>
  <c r="F60" i="4"/>
  <c r="F73" i="4"/>
  <c r="F78" i="4"/>
  <c r="F68" i="4"/>
  <c r="F87" i="4"/>
  <c r="F92" i="4"/>
  <c r="F85" i="4"/>
  <c r="F93" i="4"/>
  <c r="F69" i="4"/>
  <c r="F82" i="4"/>
  <c r="C98" i="7"/>
  <c r="C93" i="7"/>
  <c r="C88" i="7"/>
  <c r="C100" i="7"/>
  <c r="C85" i="7"/>
  <c r="C89" i="7"/>
  <c r="C90" i="7"/>
  <c r="C94" i="7"/>
  <c r="C99" i="7"/>
  <c r="C86" i="7"/>
  <c r="C97" i="7"/>
  <c r="C91" i="7"/>
  <c r="C95" i="7"/>
  <c r="C96" i="7"/>
  <c r="C87" i="7"/>
  <c r="C92" i="7"/>
  <c r="C42" i="4"/>
  <c r="C37" i="4"/>
  <c r="C50" i="4"/>
  <c r="C44" i="4"/>
  <c r="C46" i="4"/>
  <c r="C47" i="4"/>
  <c r="C41" i="4"/>
  <c r="C49" i="4"/>
  <c r="C48" i="4"/>
  <c r="C51" i="4"/>
  <c r="C52" i="4" s="1"/>
  <c r="C62" i="4" s="1"/>
  <c r="C45" i="4"/>
  <c r="E75" i="4"/>
  <c r="C43" i="4"/>
  <c r="C38" i="4"/>
  <c r="C39" i="4"/>
  <c r="E73" i="4"/>
  <c r="E89" i="4"/>
  <c r="E76" i="4"/>
  <c r="E78" i="4"/>
  <c r="E92" i="4"/>
  <c r="E74" i="4"/>
  <c r="E98" i="4"/>
  <c r="E88" i="4"/>
  <c r="E91" i="4"/>
  <c r="E77" i="4"/>
  <c r="E95" i="4"/>
  <c r="E93" i="4"/>
  <c r="E69" i="4"/>
  <c r="E71" i="4"/>
  <c r="E79" i="4"/>
  <c r="E94" i="4"/>
  <c r="E70" i="4"/>
  <c r="E85" i="4"/>
  <c r="E90" i="4"/>
  <c r="E100" i="4"/>
  <c r="E84" i="4"/>
  <c r="E72" i="4"/>
  <c r="E87" i="4"/>
  <c r="E86" i="4"/>
  <c r="E97" i="4"/>
  <c r="E81" i="4"/>
  <c r="E82" i="4"/>
  <c r="E96" i="4"/>
  <c r="E80" i="4"/>
  <c r="E99" i="4"/>
  <c r="D33" i="4"/>
  <c r="B33" i="4" s="1"/>
  <c r="D41" i="4"/>
  <c r="B41" i="4" s="1"/>
  <c r="D42" i="4"/>
  <c r="D46" i="4"/>
  <c r="B46" i="4" s="1"/>
  <c r="D51" i="4"/>
  <c r="B51" i="4" s="1"/>
  <c r="D40" i="4"/>
  <c r="B40" i="4" s="1"/>
  <c r="D37" i="4"/>
  <c r="B37" i="4" s="1"/>
  <c r="D44" i="4"/>
  <c r="B44" i="4" s="1"/>
  <c r="D48" i="4"/>
  <c r="D32" i="4"/>
  <c r="B32" i="4" s="1"/>
  <c r="D30" i="4"/>
  <c r="B30" i="4" s="1"/>
  <c r="D29" i="4"/>
  <c r="B29" i="4" s="1"/>
  <c r="D49" i="4"/>
  <c r="B49" i="4" s="1"/>
  <c r="D47" i="4"/>
  <c r="B47" i="4" s="1"/>
  <c r="D45" i="4"/>
  <c r="B45" i="4" s="1"/>
  <c r="D31" i="4"/>
  <c r="B31" i="4" s="1"/>
  <c r="D34" i="4"/>
  <c r="B34" i="4" s="1"/>
  <c r="D50" i="4"/>
  <c r="B50" i="4" s="1"/>
  <c r="D35" i="4"/>
  <c r="B35" i="4" s="1"/>
  <c r="D43" i="4"/>
  <c r="B43" i="4" s="1"/>
  <c r="D39" i="4"/>
  <c r="B39" i="4" s="1"/>
  <c r="D36" i="4"/>
  <c r="B36" i="4" s="1"/>
  <c r="D38" i="4"/>
  <c r="B38" i="4" s="1"/>
  <c r="B42" i="4" l="1"/>
  <c r="B48" i="4"/>
  <c r="C53" i="4"/>
  <c r="C61" i="4"/>
  <c r="C67" i="4"/>
  <c r="C68" i="4" s="1"/>
  <c r="C76" i="4" s="1"/>
  <c r="C59" i="4"/>
  <c r="C60" i="4"/>
  <c r="C55" i="4"/>
  <c r="C58" i="4"/>
  <c r="C54" i="4"/>
  <c r="C66" i="4"/>
  <c r="C63" i="4"/>
  <c r="C64" i="4"/>
  <c r="C65" i="4"/>
  <c r="C56" i="4"/>
  <c r="C57" i="4"/>
  <c r="D52" i="4"/>
  <c r="B52" i="4" s="1"/>
  <c r="C72" i="4" l="1"/>
  <c r="C69" i="4"/>
  <c r="C81" i="4"/>
  <c r="C70" i="4"/>
  <c r="C83" i="4"/>
  <c r="C84" i="4" s="1"/>
  <c r="C87" i="4" s="1"/>
  <c r="C75" i="4"/>
  <c r="C79" i="4"/>
  <c r="C82" i="4"/>
  <c r="C73" i="4"/>
  <c r="C78" i="4"/>
  <c r="C80" i="4"/>
  <c r="C74" i="4"/>
  <c r="C71" i="4"/>
  <c r="C77" i="4"/>
  <c r="D69" i="4"/>
  <c r="B69" i="4" s="1"/>
  <c r="D59" i="4"/>
  <c r="B59" i="4" s="1"/>
  <c r="D67" i="4"/>
  <c r="B67" i="4" s="1"/>
  <c r="D73" i="4"/>
  <c r="D75" i="4"/>
  <c r="B75" i="4" s="1"/>
  <c r="D68" i="4"/>
  <c r="B68" i="4" s="1"/>
  <c r="D58" i="4"/>
  <c r="B58" i="4" s="1"/>
  <c r="D62" i="4"/>
  <c r="B62" i="4" s="1"/>
  <c r="D64" i="4"/>
  <c r="B64" i="4" s="1"/>
  <c r="D63" i="4"/>
  <c r="B63" i="4" s="1"/>
  <c r="D54" i="4"/>
  <c r="B54" i="4" s="1"/>
  <c r="D74" i="4"/>
  <c r="D60" i="4"/>
  <c r="B60" i="4" s="1"/>
  <c r="D72" i="4"/>
  <c r="D55" i="4"/>
  <c r="B55" i="4" s="1"/>
  <c r="D66" i="4"/>
  <c r="B66" i="4" s="1"/>
  <c r="D53" i="4"/>
  <c r="B53" i="4" s="1"/>
  <c r="D56" i="4"/>
  <c r="B56" i="4" s="1"/>
  <c r="D57" i="4"/>
  <c r="B57" i="4" s="1"/>
  <c r="D65" i="4"/>
  <c r="B65" i="4" s="1"/>
  <c r="D61" i="4"/>
  <c r="B61" i="4" s="1"/>
  <c r="D71" i="4"/>
  <c r="D70" i="4"/>
  <c r="B71" i="4" l="1"/>
  <c r="B72" i="4"/>
  <c r="B74" i="4"/>
  <c r="B70" i="4"/>
  <c r="B73" i="4"/>
  <c r="C88" i="4"/>
  <c r="C94" i="4"/>
  <c r="C93" i="4"/>
  <c r="C99" i="4"/>
  <c r="C85" i="4"/>
  <c r="C100" i="4"/>
  <c r="C98" i="4"/>
  <c r="C95" i="4"/>
  <c r="C96" i="4"/>
  <c r="C91" i="4"/>
  <c r="C89" i="4"/>
  <c r="C86" i="4"/>
  <c r="C90" i="4"/>
  <c r="C92" i="4"/>
  <c r="C97" i="4"/>
  <c r="D76" i="4"/>
  <c r="B76" i="4" s="1"/>
  <c r="D80" i="4" l="1"/>
  <c r="B80" i="4" s="1"/>
  <c r="D96" i="4"/>
  <c r="B96" i="4" s="1"/>
  <c r="D89" i="4"/>
  <c r="B89" i="4" s="1"/>
  <c r="D91" i="4"/>
  <c r="B91" i="4" s="1"/>
  <c r="D86" i="4"/>
  <c r="B86" i="4" s="1"/>
  <c r="D83" i="4"/>
  <c r="B83" i="4" s="1"/>
  <c r="D92" i="4"/>
  <c r="B92" i="4" s="1"/>
  <c r="D85" i="4"/>
  <c r="B85" i="4" s="1"/>
  <c r="D82" i="4"/>
  <c r="B82" i="4" s="1"/>
  <c r="D84" i="4"/>
  <c r="B84" i="4" s="1"/>
  <c r="D77" i="4"/>
  <c r="B77" i="4" s="1"/>
  <c r="D93" i="4"/>
  <c r="B93" i="4" s="1"/>
  <c r="D99" i="4"/>
  <c r="D90" i="4"/>
  <c r="B90" i="4" s="1"/>
  <c r="D87" i="4"/>
  <c r="B87" i="4" s="1"/>
  <c r="D88" i="4"/>
  <c r="B88" i="4" s="1"/>
  <c r="D81" i="4"/>
  <c r="B81" i="4" s="1"/>
  <c r="D97" i="4"/>
  <c r="B97" i="4" s="1"/>
  <c r="D78" i="4"/>
  <c r="B78" i="4" s="1"/>
  <c r="D94" i="4"/>
  <c r="B94" i="4" s="1"/>
  <c r="D95" i="4"/>
  <c r="B95" i="4" s="1"/>
  <c r="D79" i="4"/>
  <c r="B79" i="4" s="1"/>
  <c r="D98" i="4"/>
  <c r="B98" i="4" s="1"/>
  <c r="D100" i="4" l="1"/>
  <c r="D11" i="9"/>
  <c r="D5" i="9"/>
  <c r="D6" i="9"/>
  <c r="D13" i="9"/>
  <c r="D4" i="9"/>
  <c r="D7" i="9"/>
  <c r="D12" i="9"/>
  <c r="D19" i="9"/>
  <c r="D20" i="9"/>
  <c r="D9" i="9"/>
  <c r="F51" i="9"/>
  <c r="F52" i="9" s="1"/>
  <c r="F58" i="9" s="1"/>
  <c r="D26" i="9"/>
  <c r="D25" i="9"/>
  <c r="D27" i="9"/>
  <c r="D28" i="9" s="1"/>
  <c r="D46" i="9" s="1"/>
  <c r="D23" i="9"/>
  <c r="D22" i="9"/>
  <c r="D24" i="9"/>
  <c r="D21" i="9"/>
  <c r="C19" i="9"/>
  <c r="C20" i="9" s="1"/>
  <c r="E39" i="9"/>
  <c r="E40" i="9" s="1"/>
  <c r="E62" i="9" s="1"/>
  <c r="D15" i="9"/>
  <c r="D17" i="9"/>
  <c r="G66" i="9"/>
  <c r="F32" i="9"/>
  <c r="H31" i="9"/>
  <c r="F20" i="9"/>
  <c r="G26" i="9"/>
  <c r="C11" i="9"/>
  <c r="H7" i="9"/>
  <c r="F24" i="9"/>
  <c r="G30" i="9"/>
  <c r="G45" i="9"/>
  <c r="G69" i="9"/>
  <c r="H88" i="9"/>
  <c r="E10" i="9"/>
  <c r="H18" i="9"/>
  <c r="H33" i="9"/>
  <c r="E9" i="9"/>
  <c r="E27" i="9"/>
  <c r="F5" i="9"/>
  <c r="F21" i="9"/>
  <c r="E37" i="9"/>
  <c r="G7" i="9"/>
  <c r="G15" i="9"/>
  <c r="G27" i="9"/>
  <c r="F43" i="9"/>
  <c r="G42" i="9"/>
  <c r="H35" i="9"/>
  <c r="G54" i="9"/>
  <c r="H82" i="9"/>
  <c r="H73" i="9"/>
  <c r="H76" i="9"/>
  <c r="H79" i="9"/>
  <c r="H30" i="9"/>
  <c r="H11" i="9"/>
  <c r="H16" i="9"/>
  <c r="H55" i="9"/>
  <c r="F10" i="9"/>
  <c r="F26" i="9"/>
  <c r="H50" i="9"/>
  <c r="C10" i="9"/>
  <c r="C18" i="9"/>
  <c r="G32" i="9"/>
  <c r="G48" i="9"/>
  <c r="G47" i="9"/>
  <c r="H40" i="9"/>
  <c r="G57" i="9"/>
  <c r="G52" i="9"/>
  <c r="H93" i="9"/>
  <c r="H96" i="9"/>
  <c r="H67" i="9"/>
  <c r="H78" i="9"/>
  <c r="E4" i="9"/>
  <c r="E12" i="9"/>
  <c r="E17" i="9"/>
  <c r="H87" i="9"/>
  <c r="F11" i="9"/>
  <c r="F27" i="9"/>
  <c r="H54" i="9"/>
  <c r="G10" i="9"/>
  <c r="G18" i="9"/>
  <c r="G33" i="9"/>
  <c r="H49" i="9"/>
  <c r="H48" i="9"/>
  <c r="H41" i="9"/>
  <c r="H58" i="9"/>
  <c r="H53" i="9"/>
  <c r="H97" i="9"/>
  <c r="H100" i="9"/>
  <c r="H21" i="9"/>
  <c r="H28" i="9"/>
  <c r="C5" i="9"/>
  <c r="E23" i="9"/>
  <c r="H8" i="9"/>
  <c r="E36" i="9"/>
  <c r="H6" i="9"/>
  <c r="H9" i="9"/>
  <c r="E13" i="9"/>
  <c r="F48" i="9"/>
  <c r="G34" i="9"/>
  <c r="H34" i="9"/>
  <c r="H94" i="9"/>
  <c r="H13" i="9"/>
  <c r="E18" i="9"/>
  <c r="E8" i="9"/>
  <c r="D14" i="9"/>
  <c r="H52" i="9"/>
  <c r="F9" i="9"/>
  <c r="F25" i="9"/>
  <c r="G49" i="9"/>
  <c r="G9" i="9"/>
  <c r="G17" i="9"/>
  <c r="G31" i="9"/>
  <c r="F47" i="9"/>
  <c r="G46" i="9"/>
  <c r="H39" i="9"/>
  <c r="H95" i="9"/>
  <c r="H98" i="9"/>
  <c r="H89" i="9"/>
  <c r="H92" i="9"/>
  <c r="G56" i="9"/>
  <c r="H24" i="9"/>
  <c r="D8" i="9"/>
  <c r="H19" i="9"/>
  <c r="E21" i="9"/>
  <c r="F14" i="9"/>
  <c r="F30" i="9"/>
  <c r="C4" i="9"/>
  <c r="C12" i="9"/>
  <c r="G20" i="9"/>
  <c r="F36" i="9"/>
  <c r="G35" i="9"/>
  <c r="G53" i="9"/>
  <c r="H44" i="9"/>
  <c r="G65" i="9"/>
  <c r="G60" i="9"/>
  <c r="H60" i="9"/>
  <c r="F38" i="9"/>
  <c r="H38" i="9"/>
  <c r="G72" i="9"/>
  <c r="H26" i="9"/>
  <c r="H10" i="9"/>
  <c r="E20" i="9"/>
  <c r="E28" i="9"/>
  <c r="F15" i="9"/>
  <c r="F31" i="9"/>
  <c r="G4" i="9"/>
  <c r="G12" i="9"/>
  <c r="G21" i="9"/>
  <c r="F37" i="9"/>
  <c r="G36" i="9"/>
  <c r="G58" i="9"/>
  <c r="H45" i="9"/>
  <c r="H66" i="9"/>
  <c r="H61" i="9"/>
  <c r="G63" i="9"/>
  <c r="D18" i="9"/>
  <c r="E11" i="9"/>
  <c r="E30" i="9"/>
  <c r="C13" i="9"/>
  <c r="E24" i="9"/>
  <c r="C7" i="9"/>
  <c r="H15" i="9"/>
  <c r="H17" i="9"/>
  <c r="C9" i="9"/>
  <c r="F42" i="9"/>
  <c r="H42" i="9"/>
  <c r="G64" i="9"/>
  <c r="H22" i="9"/>
  <c r="E7" i="9"/>
  <c r="E16" i="9"/>
  <c r="H20" i="9"/>
  <c r="E25" i="9"/>
  <c r="F13" i="9"/>
  <c r="F29" i="9"/>
  <c r="H75" i="9"/>
  <c r="G11" i="9"/>
  <c r="G19" i="9"/>
  <c r="F35" i="9"/>
  <c r="H71" i="9"/>
  <c r="G51" i="9"/>
  <c r="H43" i="9"/>
  <c r="H62" i="9"/>
  <c r="H57" i="9"/>
  <c r="G59" i="9"/>
  <c r="F46" i="9"/>
  <c r="H64" i="9"/>
  <c r="E6" i="9"/>
  <c r="H14" i="9"/>
  <c r="H27" i="9"/>
  <c r="E5" i="9"/>
  <c r="H59" i="9"/>
  <c r="E33" i="9"/>
  <c r="F18" i="9"/>
  <c r="F34" i="9"/>
  <c r="C6" i="9"/>
  <c r="C14" i="9"/>
  <c r="G24" i="9"/>
  <c r="F40" i="9"/>
  <c r="G39" i="9"/>
  <c r="H83" i="9"/>
  <c r="F49" i="9"/>
  <c r="G73" i="9"/>
  <c r="G68" i="9"/>
  <c r="H68" i="9"/>
  <c r="G62" i="9"/>
  <c r="H46" i="9"/>
  <c r="H56" i="9"/>
  <c r="E15" i="9"/>
  <c r="H29" i="9"/>
  <c r="E22" i="9"/>
  <c r="E34" i="9"/>
  <c r="F19" i="9"/>
  <c r="E35" i="9"/>
  <c r="G6" i="9"/>
  <c r="G14" i="9"/>
  <c r="G25" i="9"/>
  <c r="F41" i="9"/>
  <c r="G40" i="9"/>
  <c r="H99" i="9"/>
  <c r="G50" i="9"/>
  <c r="H74" i="9"/>
  <c r="H69" i="9"/>
  <c r="G71" i="9"/>
  <c r="F28" i="9"/>
  <c r="H23" i="9"/>
  <c r="F16" i="9"/>
  <c r="G22" i="9"/>
  <c r="D16" i="9"/>
  <c r="F4" i="9"/>
  <c r="C15" i="9"/>
  <c r="F12" i="9"/>
  <c r="F8" i="9"/>
  <c r="C17" i="9"/>
  <c r="G37" i="9"/>
  <c r="H51" i="9"/>
  <c r="H85" i="9"/>
  <c r="H32" i="9"/>
  <c r="H25" i="9"/>
  <c r="H4" i="9"/>
  <c r="E32" i="9"/>
  <c r="F17" i="9"/>
  <c r="F33" i="9"/>
  <c r="G5" i="9"/>
  <c r="G13" i="9"/>
  <c r="G23" i="9"/>
  <c r="F39" i="9"/>
  <c r="G38" i="9"/>
  <c r="G74" i="9"/>
  <c r="G75" i="9" s="1"/>
  <c r="H47" i="9"/>
  <c r="H70" i="9"/>
  <c r="H65" i="9"/>
  <c r="G67" i="9"/>
  <c r="F50" i="9"/>
  <c r="H5" i="9"/>
  <c r="E19" i="9"/>
  <c r="G55" i="9"/>
  <c r="D10" i="9"/>
  <c r="B10" i="9" s="1"/>
  <c r="E29" i="9"/>
  <c r="F6" i="9"/>
  <c r="F22" i="9"/>
  <c r="E38" i="9"/>
  <c r="C8" i="9"/>
  <c r="C16" i="9"/>
  <c r="G28" i="9"/>
  <c r="F44" i="9"/>
  <c r="G43" i="9"/>
  <c r="H36" i="9"/>
  <c r="H63" i="9"/>
  <c r="H86" i="9"/>
  <c r="H77" i="9"/>
  <c r="H80" i="9"/>
  <c r="G41" i="9"/>
  <c r="G61" i="9"/>
  <c r="H72" i="9"/>
  <c r="E14" i="9"/>
  <c r="H91" i="9"/>
  <c r="H12" i="9"/>
  <c r="E31" i="9"/>
  <c r="F7" i="9"/>
  <c r="F23" i="9"/>
  <c r="G8" i="9"/>
  <c r="G16" i="9"/>
  <c r="G29" i="9"/>
  <c r="F45" i="9"/>
  <c r="G44" i="9"/>
  <c r="H37" i="9"/>
  <c r="G70" i="9"/>
  <c r="H90" i="9"/>
  <c r="H81" i="9"/>
  <c r="H84" i="9"/>
  <c r="B3" i="9"/>
  <c r="E26" i="9"/>
  <c r="B12" i="9" l="1"/>
  <c r="B6" i="9"/>
  <c r="B18" i="9"/>
  <c r="B14" i="9"/>
  <c r="B17" i="9"/>
  <c r="B9" i="9"/>
  <c r="B7" i="9"/>
  <c r="B5" i="9"/>
  <c r="B8" i="9"/>
  <c r="B16" i="9"/>
  <c r="B15" i="9"/>
  <c r="B20" i="9"/>
  <c r="B4" i="9"/>
  <c r="B11" i="9"/>
  <c r="B19" i="9"/>
  <c r="B13" i="9"/>
  <c r="C30" i="9"/>
  <c r="C25" i="9"/>
  <c r="B25" i="9" s="1"/>
  <c r="C21" i="9"/>
  <c r="B21" i="9" s="1"/>
  <c r="C23" i="9"/>
  <c r="B23" i="9" s="1"/>
  <c r="C34" i="9"/>
  <c r="C31" i="9"/>
  <c r="F71" i="9"/>
  <c r="E58" i="9"/>
  <c r="F87" i="9"/>
  <c r="F89" i="9"/>
  <c r="E67" i="9"/>
  <c r="E68" i="9" s="1"/>
  <c r="E76" i="9" s="1"/>
  <c r="E49" i="9"/>
  <c r="E52" i="9"/>
  <c r="F76" i="9"/>
  <c r="F73" i="9"/>
  <c r="F85" i="9"/>
  <c r="E43" i="9"/>
  <c r="F98" i="9"/>
  <c r="F79" i="9"/>
  <c r="E64" i="9"/>
  <c r="E63" i="9"/>
  <c r="E55" i="9"/>
  <c r="F67" i="9"/>
  <c r="F92" i="9"/>
  <c r="F82" i="9"/>
  <c r="G93" i="9"/>
  <c r="G99" i="9"/>
  <c r="G79" i="9"/>
  <c r="G98" i="9"/>
  <c r="G92" i="9"/>
  <c r="G86" i="9"/>
  <c r="G89" i="9"/>
  <c r="G84" i="9"/>
  <c r="G76" i="9"/>
  <c r="G95" i="9"/>
  <c r="G91" i="9"/>
  <c r="G83" i="9"/>
  <c r="G80" i="9"/>
  <c r="G100" i="9"/>
  <c r="G90" i="9"/>
  <c r="G85" i="9"/>
  <c r="G81" i="9"/>
  <c r="G78" i="9"/>
  <c r="G94" i="9"/>
  <c r="G82" i="9"/>
  <c r="G97" i="9"/>
  <c r="G96" i="9"/>
  <c r="G87" i="9"/>
  <c r="G77" i="9"/>
  <c r="G88" i="9"/>
  <c r="E61" i="9"/>
  <c r="E50" i="9"/>
  <c r="E60" i="9"/>
  <c r="E54" i="9"/>
  <c r="E65" i="9"/>
  <c r="E42" i="9"/>
  <c r="D32" i="9"/>
  <c r="D47" i="9"/>
  <c r="D37" i="9"/>
  <c r="D35" i="9"/>
  <c r="D36" i="9"/>
  <c r="D41" i="9"/>
  <c r="D40" i="9"/>
  <c r="D45" i="9"/>
  <c r="D43" i="9"/>
  <c r="D30" i="9"/>
  <c r="B30" i="9" s="1"/>
  <c r="D50" i="9"/>
  <c r="D39" i="9"/>
  <c r="D51" i="9"/>
  <c r="D34" i="9"/>
  <c r="B34" i="9" s="1"/>
  <c r="D49" i="9"/>
  <c r="D42" i="9"/>
  <c r="D31" i="9"/>
  <c r="D48" i="9"/>
  <c r="D38" i="9"/>
  <c r="D29" i="9"/>
  <c r="D33" i="9"/>
  <c r="D44" i="9"/>
  <c r="F97" i="9"/>
  <c r="F66" i="9"/>
  <c r="F74" i="9"/>
  <c r="F72" i="9"/>
  <c r="E66" i="9"/>
  <c r="E57" i="9"/>
  <c r="E48" i="9"/>
  <c r="E41" i="9"/>
  <c r="E47" i="9"/>
  <c r="E53" i="9"/>
  <c r="F80" i="9"/>
  <c r="F81" i="9"/>
  <c r="E51" i="9"/>
  <c r="E44" i="9"/>
  <c r="E59" i="9"/>
  <c r="E45" i="9"/>
  <c r="E56" i="9"/>
  <c r="E46" i="9"/>
  <c r="C26" i="9"/>
  <c r="B26" i="9" s="1"/>
  <c r="C22" i="9"/>
  <c r="B22" i="9" s="1"/>
  <c r="C28" i="9"/>
  <c r="B28" i="9" s="1"/>
  <c r="C27" i="9"/>
  <c r="B27" i="9" s="1"/>
  <c r="C33" i="9"/>
  <c r="C24" i="9"/>
  <c r="B24" i="9" s="1"/>
  <c r="C32" i="9"/>
  <c r="C29" i="9"/>
  <c r="F77" i="9"/>
  <c r="F69" i="9"/>
  <c r="F64" i="9"/>
  <c r="F55" i="9"/>
  <c r="F88" i="9"/>
  <c r="F93" i="9"/>
  <c r="F90" i="9"/>
  <c r="F65" i="9"/>
  <c r="F68" i="9"/>
  <c r="F56" i="9"/>
  <c r="F53" i="9"/>
  <c r="F91" i="9"/>
  <c r="F84" i="9"/>
  <c r="F57" i="9"/>
  <c r="F61" i="9"/>
  <c r="F63" i="9"/>
  <c r="F60" i="9"/>
  <c r="F78" i="9"/>
  <c r="F95" i="9"/>
  <c r="F59" i="9"/>
  <c r="F70" i="9"/>
  <c r="F54" i="9"/>
  <c r="F94" i="9"/>
  <c r="F75" i="9"/>
  <c r="F96" i="9"/>
  <c r="F99" i="9"/>
  <c r="F100" i="9" s="1"/>
  <c r="F62" i="9"/>
  <c r="F83" i="9"/>
  <c r="F86" i="9"/>
  <c r="C35" i="9"/>
  <c r="C36" i="9" s="1"/>
  <c r="B31" i="9" l="1"/>
  <c r="B33" i="9"/>
  <c r="B36" i="9"/>
  <c r="B32" i="9"/>
  <c r="B29" i="9"/>
  <c r="B35" i="9"/>
  <c r="E77" i="9"/>
  <c r="E78" i="9"/>
  <c r="E69" i="9"/>
  <c r="E79" i="9"/>
  <c r="E96" i="9"/>
  <c r="E71" i="9"/>
  <c r="E80" i="9"/>
  <c r="E88" i="9"/>
  <c r="E74" i="9"/>
  <c r="E75" i="9"/>
  <c r="E92" i="9"/>
  <c r="E70" i="9"/>
  <c r="E81" i="9"/>
  <c r="E82" i="9"/>
  <c r="E100" i="9"/>
  <c r="E85" i="9"/>
  <c r="E94" i="9"/>
  <c r="E93" i="9"/>
  <c r="E84" i="9"/>
  <c r="E95" i="9"/>
  <c r="E89" i="9"/>
  <c r="E90" i="9"/>
  <c r="E99" i="9"/>
  <c r="E73" i="9"/>
  <c r="E87" i="9"/>
  <c r="E86" i="9"/>
  <c r="E72" i="9"/>
  <c r="E91" i="9"/>
  <c r="E97" i="9"/>
  <c r="E98" i="9"/>
  <c r="E83" i="9"/>
  <c r="D52" i="9"/>
  <c r="C45" i="9"/>
  <c r="B45" i="9" s="1"/>
  <c r="C50" i="9"/>
  <c r="B50" i="9" s="1"/>
  <c r="C38" i="9"/>
  <c r="B38" i="9" s="1"/>
  <c r="C39" i="9"/>
  <c r="B39" i="9" s="1"/>
  <c r="C40" i="9"/>
  <c r="B40" i="9" s="1"/>
  <c r="C47" i="9"/>
  <c r="B47" i="9" s="1"/>
  <c r="C41" i="9"/>
  <c r="B41" i="9" s="1"/>
  <c r="C49" i="9"/>
  <c r="B49" i="9" s="1"/>
  <c r="C48" i="9"/>
  <c r="B48" i="9" s="1"/>
  <c r="C43" i="9"/>
  <c r="B43" i="9" s="1"/>
  <c r="C44" i="9"/>
  <c r="B44" i="9" s="1"/>
  <c r="C51" i="9"/>
  <c r="C52" i="9" s="1"/>
  <c r="C42" i="9"/>
  <c r="B42" i="9" s="1"/>
  <c r="C37" i="9"/>
  <c r="B37" i="9" s="1"/>
  <c r="C46" i="9"/>
  <c r="B46" i="9" s="1"/>
  <c r="B51" i="9" l="1"/>
  <c r="C53" i="9"/>
  <c r="C65" i="9"/>
  <c r="C66" i="9"/>
  <c r="C57" i="9"/>
  <c r="C60" i="9"/>
  <c r="C54" i="9"/>
  <c r="C56" i="9"/>
  <c r="C62" i="9"/>
  <c r="C61" i="9"/>
  <c r="C59" i="9"/>
  <c r="C55" i="9"/>
  <c r="C64" i="9"/>
  <c r="C58" i="9"/>
  <c r="C67" i="9"/>
  <c r="C68" i="9" s="1"/>
  <c r="C63" i="9"/>
  <c r="D69" i="9"/>
  <c r="D65" i="9"/>
  <c r="D56" i="9"/>
  <c r="D60" i="9"/>
  <c r="B60" i="9" s="1"/>
  <c r="D73" i="9"/>
  <c r="D63" i="9"/>
  <c r="D58" i="9"/>
  <c r="B58" i="9" s="1"/>
  <c r="D62" i="9"/>
  <c r="D68" i="9"/>
  <c r="D70" i="9"/>
  <c r="D61" i="9"/>
  <c r="B61" i="9" s="1"/>
  <c r="B52" i="9"/>
  <c r="D75" i="9"/>
  <c r="D54" i="9"/>
  <c r="D72" i="9"/>
  <c r="D57" i="9"/>
  <c r="D64" i="9"/>
  <c r="B64" i="9" s="1"/>
  <c r="D55" i="9"/>
  <c r="D71" i="9"/>
  <c r="D67" i="9"/>
  <c r="B67" i="9" s="1"/>
  <c r="D59" i="9"/>
  <c r="D74" i="9"/>
  <c r="D53" i="9"/>
  <c r="B53" i="9" s="1"/>
  <c r="D66" i="9"/>
  <c r="B66" i="9" s="1"/>
  <c r="B57" i="9" l="1"/>
  <c r="B59" i="9"/>
  <c r="B62" i="9"/>
  <c r="B54" i="9"/>
  <c r="B65" i="9"/>
  <c r="B68" i="9"/>
  <c r="B56" i="9"/>
  <c r="B55" i="9"/>
  <c r="B63" i="9"/>
  <c r="D76" i="9"/>
  <c r="C76" i="9"/>
  <c r="C81" i="9"/>
  <c r="C71" i="9"/>
  <c r="B71" i="9" s="1"/>
  <c r="C77" i="9"/>
  <c r="C75" i="9"/>
  <c r="B75" i="9" s="1"/>
  <c r="C78" i="9"/>
  <c r="C69" i="9"/>
  <c r="B69" i="9" s="1"/>
  <c r="C73" i="9"/>
  <c r="B73" i="9" s="1"/>
  <c r="C72" i="9"/>
  <c r="B72" i="9" s="1"/>
  <c r="C79" i="9"/>
  <c r="C70" i="9"/>
  <c r="B70" i="9" s="1"/>
  <c r="C80" i="9"/>
  <c r="C83" i="9"/>
  <c r="C84" i="9" s="1"/>
  <c r="C74" i="9"/>
  <c r="B74" i="9" s="1"/>
  <c r="C82" i="9"/>
  <c r="C94" i="9" l="1"/>
  <c r="C96" i="9"/>
  <c r="C95" i="9"/>
  <c r="C88" i="9"/>
  <c r="C100" i="9"/>
  <c r="C98" i="9"/>
  <c r="C97" i="9"/>
  <c r="C90" i="9"/>
  <c r="C85" i="9"/>
  <c r="C87" i="9"/>
  <c r="C89" i="9"/>
  <c r="C99" i="9"/>
  <c r="C92" i="9"/>
  <c r="C91" i="9"/>
  <c r="C93" i="9"/>
  <c r="C86" i="9"/>
  <c r="D99" i="9"/>
  <c r="D83" i="9"/>
  <c r="B83" i="9" s="1"/>
  <c r="D81" i="9"/>
  <c r="B81" i="9" s="1"/>
  <c r="D96" i="9"/>
  <c r="B96" i="9" s="1"/>
  <c r="D91" i="9"/>
  <c r="D97" i="9"/>
  <c r="D87" i="9"/>
  <c r="D86" i="9"/>
  <c r="B86" i="9" s="1"/>
  <c r="D85" i="9"/>
  <c r="B85" i="9" s="1"/>
  <c r="D84" i="9"/>
  <c r="B84" i="9" s="1"/>
  <c r="D90" i="9"/>
  <c r="D80" i="9"/>
  <c r="B80" i="9" s="1"/>
  <c r="D93" i="9"/>
  <c r="D94" i="9"/>
  <c r="B94" i="9" s="1"/>
  <c r="D77" i="9"/>
  <c r="B77" i="9" s="1"/>
  <c r="D82" i="9"/>
  <c r="B82" i="9" s="1"/>
  <c r="D78" i="9"/>
  <c r="B78" i="9" s="1"/>
  <c r="D89" i="9"/>
  <c r="D79" i="9"/>
  <c r="B79" i="9" s="1"/>
  <c r="D88" i="9"/>
  <c r="B88" i="9" s="1"/>
  <c r="D98" i="9"/>
  <c r="B98" i="9" s="1"/>
  <c r="D92" i="9"/>
  <c r="B92" i="9" s="1"/>
  <c r="B76" i="9"/>
  <c r="D95" i="9"/>
  <c r="B95" i="9" s="1"/>
  <c r="B87" i="9" l="1"/>
  <c r="B91" i="9"/>
  <c r="B89" i="9"/>
  <c r="B97" i="9"/>
  <c r="B93" i="9"/>
  <c r="B90" i="9"/>
  <c r="D100" i="9"/>
</calcChain>
</file>

<file path=xl/sharedStrings.xml><?xml version="1.0" encoding="utf-8"?>
<sst xmlns="http://schemas.openxmlformats.org/spreadsheetml/2006/main" count="504" uniqueCount="242">
  <si>
    <t>Vancomycin Empiric Dosing</t>
  </si>
  <si>
    <t>Vancomycin Two-level Dosing</t>
  </si>
  <si>
    <t>Vancomycin Empiric Calculator</t>
  </si>
  <si>
    <t>Hidden sheet</t>
  </si>
  <si>
    <t>Patient Information</t>
  </si>
  <si>
    <t>Age</t>
  </si>
  <si>
    <t>Gender</t>
  </si>
  <si>
    <t>SCr</t>
  </si>
  <si>
    <t>Height</t>
  </si>
  <si>
    <t>IBW</t>
  </si>
  <si>
    <t>AdjBW</t>
  </si>
  <si>
    <t>LBW</t>
  </si>
  <si>
    <t>CrCl TBW</t>
  </si>
  <si>
    <t>CrCl AdjBW</t>
  </si>
  <si>
    <t>CrCl IBW</t>
  </si>
  <si>
    <t>years</t>
  </si>
  <si>
    <t>mg/dL</t>
  </si>
  <si>
    <t>kg</t>
  </si>
  <si>
    <t>mL/min</t>
  </si>
  <si>
    <t>Male</t>
  </si>
  <si>
    <t>Female</t>
  </si>
  <si>
    <t>SCr Limits</t>
  </si>
  <si>
    <t>Height Toggle</t>
  </si>
  <si>
    <t>cm</t>
  </si>
  <si>
    <t>inches</t>
  </si>
  <si>
    <t>Weight Toggle</t>
  </si>
  <si>
    <t>pounds</t>
  </si>
  <si>
    <t>AdjBodyWeightRules</t>
  </si>
  <si>
    <t>If over by</t>
  </si>
  <si>
    <t>Add ___ of excess</t>
  </si>
  <si>
    <t>M: 2.3*(inches over 60)+50   F: 2.3*(inches over 60)+45.5</t>
  </si>
  <si>
    <t>James Formula</t>
  </si>
  <si>
    <t>Dosing Variables</t>
  </si>
  <si>
    <t>Desired AUC</t>
  </si>
  <si>
    <t>Desired Cmax</t>
  </si>
  <si>
    <t>Desired Cmin</t>
  </si>
  <si>
    <t>Weight to calculate CrCl &amp; Ke</t>
  </si>
  <si>
    <t>Weight to calculate Vd</t>
  </si>
  <si>
    <t>Vd coefficient</t>
  </si>
  <si>
    <t>Ke equation</t>
  </si>
  <si>
    <t>Manual CrCl (override)</t>
  </si>
  <si>
    <t>Manual Dosing Weight (override)</t>
  </si>
  <si>
    <t>Infusion time</t>
  </si>
  <si>
    <t>Usual range 400-600 mcg*h/mL</t>
  </si>
  <si>
    <t>Recommended for this patient</t>
  </si>
  <si>
    <t>Usual range 0.6-1 L/kg</t>
  </si>
  <si>
    <t>hours</t>
  </si>
  <si>
    <t>Weight DropDown</t>
  </si>
  <si>
    <t>TBW</t>
  </si>
  <si>
    <t>CrCl DropDown</t>
  </si>
  <si>
    <t>Ke equations</t>
  </si>
  <si>
    <t>CrCl*0.0016</t>
  </si>
  <si>
    <t>CrCl*0.00083+0.0044</t>
  </si>
  <si>
    <t>CrCl/Vd</t>
  </si>
  <si>
    <t>Ke eq Explanations</t>
  </si>
  <si>
    <t>Results in most aggressive dosing. Derived from study of younger, mostly male patients at DMC in Det, MI</t>
  </si>
  <si>
    <t>Less aggressive equation. Study included patienst with varying degrees of renal dysfunction. Consider in patients with significant comorbidities (e.g. long-standing DM, CHF, CKD).</t>
  </si>
  <si>
    <t>Basic PK/PD equation, with estimated Ke usually falling between the two equations above. Note, this equation has NOT been validated in clinical studies</t>
  </si>
  <si>
    <t>(140-Age)*TBW/[72*SCr]  (females * 0.85)</t>
  </si>
  <si>
    <t>(140-Age)*AdjBW/[72*SCr]  (females * 0.85)</t>
  </si>
  <si>
    <t>(140-Age)*IBW/[72*SCr]  (females * 0.85)</t>
  </si>
  <si>
    <t>Ke equation comment:</t>
  </si>
  <si>
    <t>Actual Body Weight</t>
  </si>
  <si>
    <t>Override</t>
  </si>
  <si>
    <t>Vd</t>
  </si>
  <si>
    <t>Ke</t>
  </si>
  <si>
    <t>L</t>
  </si>
  <si>
    <r>
      <t>h</t>
    </r>
    <r>
      <rPr>
        <vertAlign val="superscript"/>
        <sz val="12"/>
        <color theme="1"/>
        <rFont val="Calibri"/>
        <family val="2"/>
        <scheme val="minor"/>
      </rPr>
      <t>-1</t>
    </r>
  </si>
  <si>
    <r>
      <t xml:space="preserve">t 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</t>
    </r>
    <r>
      <rPr>
        <vertAlign val="subscript"/>
        <sz val="12"/>
        <color theme="1"/>
        <rFont val="Calibri"/>
        <family val="2"/>
        <scheme val="minor"/>
      </rPr>
      <t>2</t>
    </r>
  </si>
  <si>
    <r>
      <t xml:space="preserve">Calculated total </t>
    </r>
    <r>
      <rPr>
        <b/>
        <sz val="12"/>
        <color theme="1"/>
        <rFont val="Calibri"/>
        <family val="2"/>
        <scheme val="minor"/>
      </rPr>
      <t>daily</t>
    </r>
    <r>
      <rPr>
        <sz val="12"/>
        <color theme="1"/>
        <rFont val="Calibri"/>
        <family val="2"/>
        <scheme val="minor"/>
      </rPr>
      <t xml:space="preserve"> dose</t>
    </r>
  </si>
  <si>
    <t>mg</t>
  </si>
  <si>
    <t>Calculated dose</t>
  </si>
  <si>
    <t>Calculated interval</t>
  </si>
  <si>
    <t>(ln[desired trough]/[desired peak] / [-Ke]) + infusion time</t>
  </si>
  <si>
    <t>Total daily dose / (24/[calculated interval])</t>
  </si>
  <si>
    <t>Dose</t>
  </si>
  <si>
    <t>Interval</t>
  </si>
  <si>
    <t>Infusion Time</t>
  </si>
  <si>
    <t>Calculated AUC</t>
  </si>
  <si>
    <t>Calculated Css max</t>
  </si>
  <si>
    <t>Calculated Css min</t>
  </si>
  <si>
    <t>mcg*h/mL</t>
  </si>
  <si>
    <t>mcg/mL</t>
  </si>
  <si>
    <t>Usual range 30-40 mcg/mL</t>
  </si>
  <si>
    <t>Usual range 10-20 mcg/mL</t>
  </si>
  <si>
    <t>Daily dose</t>
  </si>
  <si>
    <t>interval</t>
  </si>
  <si>
    <t>Cmax</t>
  </si>
  <si>
    <t>Cmin</t>
  </si>
  <si>
    <t>AUC</t>
  </si>
  <si>
    <t>Cmax Error</t>
  </si>
  <si>
    <t>Cmin Error</t>
  </si>
  <si>
    <t>AUC Error</t>
  </si>
  <si>
    <t>Total Error</t>
  </si>
  <si>
    <t>Min</t>
  </si>
  <si>
    <t>Second</t>
  </si>
  <si>
    <t>Infusion</t>
  </si>
  <si>
    <t>Best</t>
  </si>
  <si>
    <t>2nd Best</t>
  </si>
  <si>
    <t>AUC-based Dosing Regimen</t>
  </si>
  <si>
    <t>3rd Best</t>
  </si>
  <si>
    <t>Third</t>
  </si>
  <si>
    <t>EstAUC</t>
  </si>
  <si>
    <t>Empiric Dosing EMR Note</t>
  </si>
  <si>
    <t>This is a</t>
  </si>
  <si>
    <t>year old</t>
  </si>
  <si>
    <t xml:space="preserve">and a weight of </t>
  </si>
  <si>
    <t>estimated creatinine clearance is</t>
  </si>
  <si>
    <t>mL/min (using the</t>
  </si>
  <si>
    <t>Given a height of</t>
  </si>
  <si>
    <t xml:space="preserve">Desired AUC = </t>
  </si>
  <si>
    <t xml:space="preserve">Desired Cmax = </t>
  </si>
  <si>
    <t xml:space="preserve">Desired Cmin = </t>
  </si>
  <si>
    <t xml:space="preserve">Vd coefficient = </t>
  </si>
  <si>
    <t xml:space="preserve">Ke equation = </t>
  </si>
  <si>
    <t>L/kg</t>
  </si>
  <si>
    <t>inverse hours</t>
  </si>
  <si>
    <t xml:space="preserve">Calculated half-life = </t>
  </si>
  <si>
    <t xml:space="preserve">Calculated Vd = </t>
  </si>
  <si>
    <t xml:space="preserve">Calculated Ke = </t>
  </si>
  <si>
    <t>Measured serum creatinine (SCr) is</t>
  </si>
  <si>
    <t>Infusion Duration (how long do you infuse at your center, in hours)</t>
  </si>
  <si>
    <t>Right side defaults</t>
  </si>
  <si>
    <t>Type your note text here:</t>
  </si>
  <si>
    <t xml:space="preserve">Estimated AUC = </t>
  </si>
  <si>
    <t xml:space="preserve">Estimated Cmax = </t>
  </si>
  <si>
    <t xml:space="preserve">Estimated Cmin = </t>
  </si>
  <si>
    <t>Which is predicted to achieve the following parameters:</t>
  </si>
  <si>
    <t>Chief Designer</t>
  </si>
  <si>
    <t>Raymond Yost, PharmD</t>
  </si>
  <si>
    <t>Manager, Pharmacy Services</t>
  </si>
  <si>
    <t>DMC Detroit Receiving Hospital</t>
  </si>
  <si>
    <t>Detroit, MI  USA</t>
  </si>
  <si>
    <t>Associate Editors</t>
  </si>
  <si>
    <t>Clinical Pharmacist Specialist, Infectious Diseases</t>
  </si>
  <si>
    <t>Ann Arbor, MI  USA</t>
  </si>
  <si>
    <t>Past President, SIDP</t>
  </si>
  <si>
    <t>Lexington, KY  USA</t>
  </si>
  <si>
    <t>University of Kentucky Medical Center</t>
  </si>
  <si>
    <t>Key Contributors</t>
  </si>
  <si>
    <t>Kyle Murray, DMC Harper University Hospital</t>
  </si>
  <si>
    <t>Michael Rybak, DMC Detroit Receiving Hospital and Wayne State University</t>
  </si>
  <si>
    <t>This calculator is not a substitute for advanced knowledge in drug dosing</t>
  </si>
  <si>
    <t>Vancomycin</t>
  </si>
  <si>
    <t>Aminoglycoside</t>
  </si>
  <si>
    <t>0.003*CrCl + 0.01</t>
  </si>
  <si>
    <t>Treatment</t>
  </si>
  <si>
    <t>Aminoglycosides</t>
  </si>
  <si>
    <t>Cystitis</t>
  </si>
  <si>
    <t>Gram Negative Infections</t>
  </si>
  <si>
    <t>Synergy</t>
  </si>
  <si>
    <t>Gent/Tobra</t>
  </si>
  <si>
    <t>Amikacin</t>
  </si>
  <si>
    <t>Use gentamicin</t>
  </si>
  <si>
    <t>Aminoglycoside Empiric Calculator</t>
  </si>
  <si>
    <t>Gent/TobraCystitis</t>
  </si>
  <si>
    <t>Gent/TobraGram Negative Infections</t>
  </si>
  <si>
    <t>Gent/TobraSynergy</t>
  </si>
  <si>
    <t>AmikacinCystitis</t>
  </si>
  <si>
    <t>AmikacinGram Negative Infections</t>
  </si>
  <si>
    <t>AmikacinSynergy</t>
  </si>
  <si>
    <t>([Desired Cmax] - [Desired Cmin]) * Vd</t>
  </si>
  <si>
    <t>Calculated interval between</t>
  </si>
  <si>
    <t>N2:N19</t>
  </si>
  <si>
    <t>N20:N37</t>
  </si>
  <si>
    <t>N38:N55</t>
  </si>
  <si>
    <t>N56:N73</t>
  </si>
  <si>
    <t>N74:N91</t>
  </si>
  <si>
    <t>Clinical calculators are tools used by professionals, in conjunction with clinical judgement, in order to make complex medical decisions</t>
  </si>
  <si>
    <t>Back to Main Menu</t>
  </si>
  <si>
    <t>Jing Zhao, DMC Harper University Hospital</t>
  </si>
  <si>
    <t>Vancomycin Two-Level Calculator</t>
  </si>
  <si>
    <t>First dose or steady state</t>
  </si>
  <si>
    <t>First Dose</t>
  </si>
  <si>
    <t>Steady State</t>
  </si>
  <si>
    <t>Dosing interval</t>
  </si>
  <si>
    <t>hrs</t>
  </si>
  <si>
    <t>Date/Time of recent dose</t>
  </si>
  <si>
    <t>Duration of Infusion</t>
  </si>
  <si>
    <t>Date/Time of Level 1</t>
  </si>
  <si>
    <t>Current Dosing Information</t>
  </si>
  <si>
    <t>Calculated PK Parameters</t>
  </si>
  <si>
    <t>t 1/2</t>
  </si>
  <si>
    <t>Cmax for this interval</t>
  </si>
  <si>
    <t>Cmin for this interval</t>
  </si>
  <si>
    <t>Vancomycin CL</t>
  </si>
  <si>
    <t>hr-1</t>
  </si>
  <si>
    <t>Steady state AUC</t>
  </si>
  <si>
    <t>at currrent dose/interval</t>
  </si>
  <si>
    <t>hr</t>
  </si>
  <si>
    <t>Date/Time of Level 2</t>
  </si>
  <si>
    <t>Alternative Dosing Regimens</t>
  </si>
  <si>
    <t>mg over 24 hours</t>
  </si>
  <si>
    <r>
      <t xml:space="preserve">Calculated Total </t>
    </r>
    <r>
      <rPr>
        <b/>
        <sz val="12"/>
        <color theme="1"/>
        <rFont val="Calibri"/>
        <family val="2"/>
        <scheme val="minor"/>
      </rPr>
      <t>Daily</t>
    </r>
    <r>
      <rPr>
        <sz val="12"/>
        <color theme="1"/>
        <rFont val="Calibri"/>
        <family val="2"/>
        <scheme val="minor"/>
      </rPr>
      <t xml:space="preserve"> Dose</t>
    </r>
  </si>
  <si>
    <t>See comment</t>
  </si>
  <si>
    <t>SIDP</t>
  </si>
  <si>
    <t>Edit Default Values</t>
  </si>
  <si>
    <t>Christine Yost, Beaumont Health</t>
  </si>
  <si>
    <t>Case-sensitive password for this page:</t>
  </si>
  <si>
    <t>Remember to SAVE all work after making edits</t>
  </si>
  <si>
    <t>The following targets were selected for dosing:</t>
  </si>
  <si>
    <t xml:space="preserve">mg/dL. </t>
  </si>
  <si>
    <t xml:space="preserve">body weight).  </t>
  </si>
  <si>
    <t>Subjective and Objective Data:</t>
  </si>
  <si>
    <t>Dosing Targets:</t>
  </si>
  <si>
    <t>Calculations:</t>
  </si>
  <si>
    <t>Prescribed Dosing:</t>
  </si>
  <si>
    <t>Predicted Outcomes:</t>
  </si>
  <si>
    <t>Empiric Note</t>
  </si>
  <si>
    <t>Empiric output here:</t>
  </si>
  <si>
    <t xml:space="preserve">Based on above, the following are calculated parameters for AUC-based vancomycin dosing in this patient: </t>
  </si>
  <si>
    <t xml:space="preserve">Empiric dose will be vancomycin IV </t>
  </si>
  <si>
    <t xml:space="preserve">patient with [insert PMH, infection source, and culture data here].  </t>
  </si>
  <si>
    <t>Two Level EMR Note</t>
  </si>
  <si>
    <t>Two level output here:</t>
  </si>
  <si>
    <t xml:space="preserve">Level 1:  </t>
  </si>
  <si>
    <t xml:space="preserve">Level 2: </t>
  </si>
  <si>
    <t>Current dosing regimen:</t>
  </si>
  <si>
    <t xml:space="preserve">Calculated half life = </t>
  </si>
  <si>
    <t>Liters</t>
  </si>
  <si>
    <t xml:space="preserve">Updated dose will be vancomycin IV </t>
  </si>
  <si>
    <t xml:space="preserve">Levels were collected with the following data after the </t>
  </si>
  <si>
    <t xml:space="preserve"> dose:</t>
  </si>
  <si>
    <t xml:space="preserve"> follow up dosing note</t>
  </si>
  <si>
    <t>The following targets were selected for dosing:
  -Desired AUC = 500 mcg*h/mL
  -Desired Cmax = 35 mcg/mL
  -Desired Cmin = 12.5 mcg/mL
  -Vd coefficient = 0.65 L/kg
  -Ke equation = CrCl*0.00083+0.0044</t>
  </si>
  <si>
    <t>Acknowledgements</t>
  </si>
  <si>
    <t>Jason Pogue, PharmD, BCPS, BCIDP</t>
  </si>
  <si>
    <t>Ryan Mynatt, PharmD, BCIDP</t>
  </si>
  <si>
    <t>Level 1 result</t>
  </si>
  <si>
    <t>Level 2 result</t>
  </si>
  <si>
    <t>Usable interval</t>
  </si>
  <si>
    <t>Yes</t>
  </si>
  <si>
    <t>No</t>
  </si>
  <si>
    <t>Do you use this interval at your site (q#h)?</t>
  </si>
  <si>
    <t>Back to Empiric Calculator</t>
  </si>
  <si>
    <t>View Patient Note</t>
  </si>
  <si>
    <t>Reset this Calculator</t>
  </si>
  <si>
    <t>Back to Two-Level Calculator</t>
  </si>
  <si>
    <t>Two-level Note</t>
  </si>
  <si>
    <t>recommended to calculate CrCl for this patient</t>
  </si>
  <si>
    <t>recommended to calculate Vd for this patient</t>
  </si>
  <si>
    <t>University of Michigan, College of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</si>
</sst>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m/d/yy\ h:mm;@"/>
    <numFmt numFmtId="167" formatCode="[$-F400]h:mm:ss\ AM/PM"/>
    <numFmt numFmtId="168" formatCode="[$-409]h:mm\ AM/PM;@"/>
  </numFmts>
  <fonts count="27" x14ac:knownFonts="1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E8F7EE"/>
      <name val="Calibri"/>
      <family val="2"/>
      <scheme val="minor"/>
    </font>
    <font>
      <sz val="11"/>
      <color rgb="FFE8F7EE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sz val="18"/>
      <color rgb="FF124A9B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8BC9D5"/>
      <name val="Calibri"/>
      <family val="2"/>
      <scheme val="minor"/>
    </font>
    <font>
      <sz val="12"/>
      <color rgb="FF47A8BD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8BC9D5"/>
      <name val="Calibri"/>
      <family val="2"/>
      <scheme val="minor"/>
    </font>
    <font>
      <sz val="12"/>
      <color rgb="FF124A9B"/>
      <name val="Verdana"/>
      <family val="2"/>
    </font>
    <font>
      <b/>
      <sz val="14"/>
      <color theme="1"/>
      <name val="Calibri"/>
      <family val="2"/>
      <scheme val="minor"/>
    </font>
    <font>
      <sz val="24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8F7EE"/>
        <bgColor indexed="64"/>
      </patternFill>
    </fill>
    <fill>
      <patternFill patternType="solid">
        <fgColor rgb="FFBE92A2"/>
        <bgColor indexed="64"/>
      </patternFill>
    </fill>
    <fill>
      <patternFill patternType="solid">
        <fgColor rgb="FF47A8BD"/>
        <bgColor indexed="64"/>
      </patternFill>
    </fill>
    <fill>
      <patternFill patternType="solid">
        <fgColor rgb="FF8BC9D5"/>
        <bgColor indexed="64"/>
      </patternFill>
    </fill>
    <fill>
      <patternFill patternType="solid">
        <fgColor rgb="FFD4F0D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right"/>
    </xf>
    <xf numFmtId="2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right"/>
    </xf>
    <xf numFmtId="165" fontId="8" fillId="4" borderId="0" xfId="0" applyNumberFormat="1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3" fillId="2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0" fillId="0" borderId="0" xfId="0" applyAlignment="1"/>
    <xf numFmtId="0" fontId="16" fillId="0" borderId="0" xfId="0" applyFont="1"/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2" borderId="0" xfId="0" applyFont="1" applyFill="1" applyAlignment="1"/>
    <xf numFmtId="165" fontId="8" fillId="2" borderId="0" xfId="0" applyNumberFormat="1" applyFont="1" applyFill="1" applyAlignment="1">
      <alignment horizontal="center"/>
    </xf>
    <xf numFmtId="0" fontId="17" fillId="2" borderId="0" xfId="0" applyFont="1" applyFill="1" applyAlignment="1"/>
    <xf numFmtId="0" fontId="7" fillId="2" borderId="0" xfId="0" applyFont="1" applyFill="1" applyAlignment="1"/>
    <xf numFmtId="0" fontId="13" fillId="2" borderId="0" xfId="0" applyFont="1" applyFill="1" applyAlignment="1"/>
    <xf numFmtId="165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/>
    <xf numFmtId="0" fontId="13" fillId="6" borderId="0" xfId="0" applyFont="1" applyFill="1"/>
    <xf numFmtId="0" fontId="13" fillId="6" borderId="0" xfId="0" applyFont="1" applyFill="1" applyAlignment="1">
      <alignment horizontal="right"/>
    </xf>
    <xf numFmtId="0" fontId="3" fillId="6" borderId="0" xfId="0" applyFont="1" applyFill="1"/>
    <xf numFmtId="166" fontId="13" fillId="2" borderId="0" xfId="0" applyNumberFormat="1" applyFont="1" applyFill="1" applyAlignment="1">
      <alignment horizontal="center"/>
    </xf>
    <xf numFmtId="14" fontId="21" fillId="2" borderId="0" xfId="0" applyNumberFormat="1" applyFont="1" applyFill="1" applyAlignment="1">
      <alignment horizontal="center"/>
    </xf>
    <xf numFmtId="18" fontId="6" fillId="2" borderId="0" xfId="0" applyNumberFormat="1" applyFont="1" applyFill="1" applyAlignment="1">
      <alignment horizontal="center"/>
    </xf>
    <xf numFmtId="0" fontId="18" fillId="6" borderId="0" xfId="0" applyFont="1" applyFill="1"/>
    <xf numFmtId="167" fontId="9" fillId="2" borderId="0" xfId="0" applyNumberFormat="1" applyFont="1" applyFill="1"/>
    <xf numFmtId="0" fontId="9" fillId="2" borderId="0" xfId="0" applyFont="1" applyFill="1" applyAlignment="1"/>
    <xf numFmtId="0" fontId="7" fillId="2" borderId="0" xfId="0" applyFont="1" applyFill="1" applyAlignment="1">
      <alignment horizontal="center"/>
    </xf>
    <xf numFmtId="0" fontId="22" fillId="2" borderId="0" xfId="0" applyFont="1" applyFill="1"/>
    <xf numFmtId="1" fontId="8" fillId="2" borderId="0" xfId="0" applyNumberFormat="1" applyFont="1" applyFill="1" applyAlignment="1"/>
    <xf numFmtId="0" fontId="7" fillId="0" borderId="0" xfId="0" applyFont="1"/>
    <xf numFmtId="0" fontId="24" fillId="0" borderId="0" xfId="0" applyFont="1" applyAlignment="1">
      <alignment horizontal="right"/>
    </xf>
    <xf numFmtId="22" fontId="3" fillId="2" borderId="0" xfId="0" applyNumberFormat="1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18" fontId="8" fillId="2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4" fontId="13" fillId="5" borderId="0" xfId="0" applyNumberFormat="1" applyFont="1" applyFill="1" applyAlignment="1" applyProtection="1">
      <alignment horizontal="center"/>
      <protection locked="0"/>
    </xf>
    <xf numFmtId="18" fontId="8" fillId="4" borderId="0" xfId="0" applyNumberFormat="1" applyFont="1" applyFill="1" applyAlignment="1" applyProtection="1">
      <alignment horizontal="center"/>
      <protection locked="0"/>
    </xf>
    <xf numFmtId="168" fontId="8" fillId="4" borderId="0" xfId="0" applyNumberFormat="1" applyFont="1" applyFill="1" applyAlignment="1" applyProtection="1">
      <alignment horizontal="center"/>
      <protection locked="0"/>
    </xf>
    <xf numFmtId="0" fontId="24" fillId="2" borderId="0" xfId="0" applyFont="1" applyFill="1"/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horizontal="right"/>
    </xf>
    <xf numFmtId="165" fontId="8" fillId="4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3" fillId="7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" fontId="5" fillId="4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165" fontId="5" fillId="5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8" fillId="4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17" fillId="4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8" fillId="5" borderId="0" xfId="0" applyNumberFormat="1" applyFont="1" applyFill="1" applyAlignment="1">
      <alignment horizontal="center"/>
    </xf>
    <xf numFmtId="0" fontId="6" fillId="4" borderId="0" xfId="0" applyFont="1" applyFill="1" applyAlignment="1" applyProtection="1">
      <alignment horizontal="center"/>
      <protection locked="0"/>
    </xf>
    <xf numFmtId="165" fontId="8" fillId="5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0" fillId="6" borderId="0" xfId="0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13" fillId="5" borderId="0" xfId="0" applyNumberFormat="1" applyFont="1" applyFill="1" applyAlignment="1" applyProtection="1">
      <alignment horizontal="center"/>
      <protection locked="0"/>
    </xf>
    <xf numFmtId="165" fontId="4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2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0" fontId="8" fillId="4" borderId="0" xfId="0" applyNumberFormat="1" applyFont="1" applyFill="1" applyAlignment="1" applyProtection="1">
      <alignment horizontal="center"/>
      <protection locked="0"/>
    </xf>
    <xf numFmtId="22" fontId="3" fillId="6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F7EE"/>
      <color rgb="FFD4F0DF"/>
      <color rgb="FF8BC9D5"/>
      <color rgb="FF124A9B"/>
      <color rgb="FF47A8BD"/>
      <color rgb="FFBE9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Estimated Vancomycin</a:t>
            </a:r>
            <a:r>
              <a:rPr lang="en-US" baseline="0">
                <a:solidFill>
                  <a:sysClr val="windowText" lastClr="000000"/>
                </a:solidFill>
              </a:rPr>
              <a:t> Level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7A8B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EmpWorksheet!$A$2:$A$100</c:f>
              <c:numCache>
                <c:formatCode>General</c:formatCode>
                <c:ptCount val="99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  <c:pt idx="42">
                  <c:v>20.5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42.5</c:v>
                </c:pt>
                <c:pt idx="87">
                  <c:v>43</c:v>
                </c:pt>
                <c:pt idx="88">
                  <c:v>43.5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45.5</c:v>
                </c:pt>
                <c:pt idx="93">
                  <c:v>46</c:v>
                </c:pt>
                <c:pt idx="94">
                  <c:v>46.5</c:v>
                </c:pt>
                <c:pt idx="95">
                  <c:v>47</c:v>
                </c:pt>
                <c:pt idx="96">
                  <c:v>47.5</c:v>
                </c:pt>
                <c:pt idx="97">
                  <c:v>48</c:v>
                </c:pt>
                <c:pt idx="98">
                  <c:v>48.5</c:v>
                </c:pt>
              </c:numCache>
            </c:numRef>
          </c:xVal>
          <c:yVal>
            <c:numRef>
              <c:f>EmpWorksheet!$B$2:$B$100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C9-4461-B3BE-D4D91725C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7104"/>
        <c:axId val="601787432"/>
      </c:scatterChart>
      <c:valAx>
        <c:axId val="601787104"/>
        <c:scaling>
          <c:orientation val="minMax"/>
          <c:max val="48"/>
          <c:min val="-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A8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432"/>
        <c:crosses val="autoZero"/>
        <c:crossBetween val="midCat"/>
        <c:majorUnit val="8"/>
      </c:valAx>
      <c:valAx>
        <c:axId val="6017874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Estimated Vancomycin</a:t>
            </a:r>
            <a:r>
              <a:rPr lang="en-US" baseline="0">
                <a:solidFill>
                  <a:sysClr val="windowText" lastClr="000000"/>
                </a:solidFill>
              </a:rPr>
              <a:t> Level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7A8B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EmpWorksheet!$A$2:$A$100</c:f>
              <c:numCache>
                <c:formatCode>General</c:formatCode>
                <c:ptCount val="99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  <c:pt idx="42">
                  <c:v>20.5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42.5</c:v>
                </c:pt>
                <c:pt idx="87">
                  <c:v>43</c:v>
                </c:pt>
                <c:pt idx="88">
                  <c:v>43.5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45.5</c:v>
                </c:pt>
                <c:pt idx="93">
                  <c:v>46</c:v>
                </c:pt>
                <c:pt idx="94">
                  <c:v>46.5</c:v>
                </c:pt>
                <c:pt idx="95">
                  <c:v>47</c:v>
                </c:pt>
                <c:pt idx="96">
                  <c:v>47.5</c:v>
                </c:pt>
                <c:pt idx="97">
                  <c:v>48</c:v>
                </c:pt>
                <c:pt idx="98">
                  <c:v>48.5</c:v>
                </c:pt>
              </c:numCache>
            </c:numRef>
          </c:xVal>
          <c:yVal>
            <c:numRef>
              <c:f>EmpWorksheet!$B$2:$B$100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1-4377-8284-6C324BDF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7104"/>
        <c:axId val="601787432"/>
      </c:scatterChart>
      <c:valAx>
        <c:axId val="601787104"/>
        <c:scaling>
          <c:orientation val="minMax"/>
          <c:max val="48"/>
          <c:min val="-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A8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432"/>
        <c:crosses val="autoZero"/>
        <c:crossBetween val="midCat"/>
        <c:majorUnit val="8"/>
      </c:valAx>
      <c:valAx>
        <c:axId val="6017874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Estimated Vancomycin</a:t>
            </a:r>
            <a:r>
              <a:rPr lang="en-US" baseline="0">
                <a:solidFill>
                  <a:sysClr val="windowText" lastClr="000000"/>
                </a:solidFill>
              </a:rPr>
              <a:t> Level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7A8B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TLKworksheet!$A$2:$A$100</c:f>
              <c:numCache>
                <c:formatCode>General</c:formatCode>
                <c:ptCount val="99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  <c:pt idx="42">
                  <c:v>20.5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42.5</c:v>
                </c:pt>
                <c:pt idx="87">
                  <c:v>43</c:v>
                </c:pt>
                <c:pt idx="88">
                  <c:v>43.5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45.5</c:v>
                </c:pt>
                <c:pt idx="93">
                  <c:v>46</c:v>
                </c:pt>
                <c:pt idx="94">
                  <c:v>46.5</c:v>
                </c:pt>
                <c:pt idx="95">
                  <c:v>47</c:v>
                </c:pt>
                <c:pt idx="96">
                  <c:v>47.5</c:v>
                </c:pt>
                <c:pt idx="97">
                  <c:v>48</c:v>
                </c:pt>
                <c:pt idx="98">
                  <c:v>48.5</c:v>
                </c:pt>
              </c:numCache>
            </c:numRef>
          </c:xVal>
          <c:yVal>
            <c:numRef>
              <c:f>TLKworksheet!$B$2:$B$100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7F-4BBC-838C-C30C09D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7104"/>
        <c:axId val="601787432"/>
      </c:scatterChart>
      <c:valAx>
        <c:axId val="601787104"/>
        <c:scaling>
          <c:orientation val="minMax"/>
          <c:max val="48"/>
          <c:min val="-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A8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432"/>
        <c:crosses val="autoZero"/>
        <c:crossBetween val="midCat"/>
        <c:majorUnit val="8"/>
      </c:valAx>
      <c:valAx>
        <c:axId val="6017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10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Estimated Vancomycin</a:t>
            </a:r>
            <a:r>
              <a:rPr lang="en-US" baseline="0">
                <a:solidFill>
                  <a:sysClr val="windowText" lastClr="000000"/>
                </a:solidFill>
              </a:rPr>
              <a:t> Level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7A8B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TLKworksheet!$A$2:$A$100</c:f>
              <c:numCache>
                <c:formatCode>General</c:formatCode>
                <c:ptCount val="99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  <c:pt idx="42">
                  <c:v>20.5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42.5</c:v>
                </c:pt>
                <c:pt idx="87">
                  <c:v>43</c:v>
                </c:pt>
                <c:pt idx="88">
                  <c:v>43.5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45.5</c:v>
                </c:pt>
                <c:pt idx="93">
                  <c:v>46</c:v>
                </c:pt>
                <c:pt idx="94">
                  <c:v>46.5</c:v>
                </c:pt>
                <c:pt idx="95">
                  <c:v>47</c:v>
                </c:pt>
                <c:pt idx="96">
                  <c:v>47.5</c:v>
                </c:pt>
                <c:pt idx="97">
                  <c:v>48</c:v>
                </c:pt>
                <c:pt idx="98">
                  <c:v>48.5</c:v>
                </c:pt>
              </c:numCache>
            </c:numRef>
          </c:xVal>
          <c:yVal>
            <c:numRef>
              <c:f>TLKworksheet!$B$2:$B$100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36-49BA-B756-BF60DDDC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7104"/>
        <c:axId val="601787432"/>
      </c:scatterChart>
      <c:valAx>
        <c:axId val="601787104"/>
        <c:scaling>
          <c:orientation val="minMax"/>
          <c:max val="48"/>
          <c:min val="-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A8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432"/>
        <c:crosses val="autoZero"/>
        <c:crossBetween val="midCat"/>
        <c:majorUnit val="8"/>
      </c:valAx>
      <c:valAx>
        <c:axId val="6017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10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Estimated Aminoglycoside</a:t>
            </a:r>
            <a:r>
              <a:rPr lang="en-US" baseline="0">
                <a:solidFill>
                  <a:sysClr val="windowText" lastClr="000000"/>
                </a:solidFill>
              </a:rPr>
              <a:t> Level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7A8B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AmgEmpWS!$A$2:$A$100</c:f>
              <c:numCache>
                <c:formatCode>General</c:formatCode>
                <c:ptCount val="99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  <c:pt idx="42">
                  <c:v>20.5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42.5</c:v>
                </c:pt>
                <c:pt idx="87">
                  <c:v>43</c:v>
                </c:pt>
                <c:pt idx="88">
                  <c:v>43.5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45.5</c:v>
                </c:pt>
                <c:pt idx="93">
                  <c:v>46</c:v>
                </c:pt>
                <c:pt idx="94">
                  <c:v>46.5</c:v>
                </c:pt>
                <c:pt idx="95">
                  <c:v>47</c:v>
                </c:pt>
                <c:pt idx="96">
                  <c:v>47.5</c:v>
                </c:pt>
                <c:pt idx="97">
                  <c:v>48</c:v>
                </c:pt>
                <c:pt idx="98">
                  <c:v>48.5</c:v>
                </c:pt>
              </c:numCache>
            </c:numRef>
          </c:xVal>
          <c:yVal>
            <c:numRef>
              <c:f>AmgEmpWS!$B$2:$B$100</c:f>
              <c:numCache>
                <c:formatCode>General</c:formatCode>
                <c:ptCount val="99"/>
                <c:pt idx="0">
                  <c:v>0</c:v>
                </c:pt>
                <c:pt idx="1">
                  <c:v>18.867924528301888</c:v>
                </c:pt>
                <c:pt idx="2">
                  <c:v>17.405648110500586</c:v>
                </c:pt>
                <c:pt idx="3">
                  <c:v>16.056699065768345</c:v>
                </c:pt>
                <c:pt idx="4">
                  <c:v>14.812294449013269</c:v>
                </c:pt>
                <c:pt idx="5">
                  <c:v>13.664331999098243</c:v>
                </c:pt>
                <c:pt idx="6">
                  <c:v>12.605337385391922</c:v>
                </c:pt>
                <c:pt idx="7">
                  <c:v>11.62841554274627</c:v>
                </c:pt>
                <c:pt idx="8">
                  <c:v>10.727205778045013</c:v>
                </c:pt>
                <c:pt idx="9">
                  <c:v>9.8958403560237471</c:v>
                </c:pt>
                <c:pt idx="10">
                  <c:v>9.1289062947159287</c:v>
                </c:pt>
                <c:pt idx="11">
                  <c:v>8.4214101217766384</c:v>
                </c:pt>
                <c:pt idx="12">
                  <c:v>7.7687453622141565</c:v>
                </c:pt>
                <c:pt idx="13">
                  <c:v>7.1666625458434998</c:v>
                </c:pt>
                <c:pt idx="14">
                  <c:v>6.6112415391817789</c:v>
                </c:pt>
                <c:pt idx="15">
                  <c:v>6.0988660216396822</c:v>
                </c:pt>
                <c:pt idx="16">
                  <c:v>5.6261999398246951</c:v>
                </c:pt>
                <c:pt idx="17">
                  <c:v>5.1901657866511348</c:v>
                </c:pt>
                <c:pt idx="18">
                  <c:v>4.7879245638332826</c:v>
                </c:pt>
                <c:pt idx="19">
                  <c:v>4.4168572972983178</c:v>
                </c:pt>
                <c:pt idx="20">
                  <c:v>4.0745479851667721</c:v>
                </c:pt>
                <c:pt idx="21">
                  <c:v>3.7587678672755858</c:v>
                </c:pt>
                <c:pt idx="22">
                  <c:v>3.4674609138233468</c:v>
                </c:pt>
                <c:pt idx="23">
                  <c:v>3.1987304386549704</c:v>
                </c:pt>
                <c:pt idx="24">
                  <c:v>2.9508267500255059</c:v>
                </c:pt>
                <c:pt idx="25">
                  <c:v>2.7221357584377892</c:v>
                </c:pt>
                <c:pt idx="26">
                  <c:v>2.5111684673800752</c:v>
                </c:pt>
                <c:pt idx="27">
                  <c:v>2.3165512785383404</c:v>
                </c:pt>
                <c:pt idx="28">
                  <c:v>2.137017048360935</c:v>
                </c:pt>
                <c:pt idx="29">
                  <c:v>1.9713968377452853</c:v>
                </c:pt>
                <c:pt idx="30">
                  <c:v>1.8186123011292468</c:v>
                </c:pt>
                <c:pt idx="31">
                  <c:v>1.6776686654328199</c:v>
                </c:pt>
                <c:pt idx="32">
                  <c:v>1.5476482531364504</c:v>
                </c:pt>
                <c:pt idx="33">
                  <c:v>1.4277045073249712</c:v>
                </c:pt>
                <c:pt idx="34">
                  <c:v>1.3170564797945248</c:v>
                </c:pt>
                <c:pt idx="35">
                  <c:v>1.2149837463347806</c:v>
                </c:pt>
                <c:pt idx="36">
                  <c:v>1.1208217160800875</c:v>
                </c:pt>
                <c:pt idx="37">
                  <c:v>1.0339573043889621</c:v>
                </c:pt>
                <c:pt idx="38">
                  <c:v>0.95382494107822879</c:v>
                </c:pt>
                <c:pt idx="39">
                  <c:v>0.8799028880216101</c:v>
                </c:pt>
                <c:pt idx="40">
                  <c:v>0.81170984213681929</c:v>
                </c:pt>
                <c:pt idx="41">
                  <c:v>0.74880180164336319</c:v>
                </c:pt>
                <c:pt idx="42">
                  <c:v>0.69076917518740122</c:v>
                </c:pt>
                <c:pt idx="43">
                  <c:v>0.63723411501130978</c:v>
                </c:pt>
                <c:pt idx="44">
                  <c:v>0.58784805680433516</c:v>
                </c:pt>
                <c:pt idx="45">
                  <c:v>0.54228945021642427</c:v>
                </c:pt>
                <c:pt idx="46">
                  <c:v>0.50026166525870708</c:v>
                </c:pt>
                <c:pt idx="47">
                  <c:v>0.46149106095930276</c:v>
                </c:pt>
                <c:pt idx="48">
                  <c:v>0.42572520369955752</c:v>
                </c:pt>
                <c:pt idx="49">
                  <c:v>0.39273122363038099</c:v>
                </c:pt>
                <c:pt idx="50">
                  <c:v>19.260655751932269</c:v>
                </c:pt>
                <c:pt idx="51">
                  <c:v>17.767942408967972</c:v>
                </c:pt>
                <c:pt idx="52">
                  <c:v>16.390915320561238</c:v>
                </c:pt>
                <c:pt idx="53">
                  <c:v>15.120608726771195</c:v>
                </c:pt>
                <c:pt idx="54">
                  <c:v>13.948751719881416</c:v>
                </c:pt>
                <c:pt idx="55">
                  <c:v>12.867714392900774</c:v>
                </c:pt>
                <c:pt idx="56">
                  <c:v>11.87045816159049</c:v>
                </c:pt>
                <c:pt idx="57">
                  <c:v>10.950489936566379</c:v>
                </c:pt>
                <c:pt idx="58">
                  <c:v>10.101819847092969</c:v>
                </c:pt>
                <c:pt idx="59">
                  <c:v>9.3189222413110659</c:v>
                </c:pt>
                <c:pt idx="60">
                  <c:v>8.5966997089730253</c:v>
                </c:pt>
                <c:pt idx="61">
                  <c:v>7.9304498924394435</c:v>
                </c:pt>
                <c:pt idx="62">
                  <c:v>7.3158348698451823</c:v>
                </c:pt>
                <c:pt idx="63">
                  <c:v>6.7488529110899185</c:v>
                </c:pt>
                <c:pt idx="64">
                  <c:v>6.2258124227578069</c:v>
                </c:pt>
                <c:pt idx="65">
                  <c:v>5.7433079123227913</c:v>
                </c:pt>
                <c:pt idx="66">
                  <c:v>5.2981978151436451</c:v>
                </c:pt>
                <c:pt idx="67">
                  <c:v>4.8875840398813049</c:v>
                </c:pt>
                <c:pt idx="68">
                  <c:v>4.5087930991596616</c:v>
                </c:pt>
                <c:pt idx="69">
                  <c:v>4.1593587026124004</c:v>
                </c:pt>
                <c:pt idx="70">
                  <c:v>3.8370056989800441</c:v>
                </c:pt>
                <c:pt idx="71">
                  <c:v>3.5396352627048939</c:v>
                </c:pt>
                <c:pt idx="72">
                  <c:v>3.2653112285745158</c:v>
                </c:pt>
                <c:pt idx="73">
                  <c:v>3.0122474854392212</c:v>
                </c:pt>
                <c:pt idx="74">
                  <c:v>2.7787963469246519</c:v>
                </c:pt>
                <c:pt idx="75">
                  <c:v>2.5634378234216944</c:v>
                </c:pt>
                <c:pt idx="76">
                  <c:v>2.3647697255041535</c:v>
                </c:pt>
                <c:pt idx="77">
                  <c:v>2.1814985343379889</c:v>
                </c:pt>
                <c:pt idx="78">
                  <c:v>2.0124309796397699</c:v>
                </c:pt>
                <c:pt idx="79">
                  <c:v>1.8564662703488297</c:v>
                </c:pt>
                <c:pt idx="80">
                  <c:v>1.7125889274273742</c:v>
                </c:pt>
                <c:pt idx="81">
                  <c:v>1.5798621721232464</c:v>
                </c:pt>
                <c:pt idx="82">
                  <c:v>1.4574218266466215</c:v>
                </c:pt>
                <c:pt idx="83">
                  <c:v>1.3444706875482262</c:v>
                </c:pt>
                <c:pt idx="84">
                  <c:v>1.240273335164402</c:v>
                </c:pt>
                <c:pt idx="85">
                  <c:v>1.1441513453335521</c:v>
                </c:pt>
                <c:pt idx="86">
                  <c:v>1.0554788722076771</c:v>
                </c:pt>
                <c:pt idx="87">
                  <c:v>0.97367857339888675</c:v>
                </c:pt>
                <c:pt idx="88">
                  <c:v>0.89821785092970763</c:v>
                </c:pt>
                <c:pt idx="89">
                  <c:v>0.82860538351218571</c:v>
                </c:pt>
                <c:pt idx="90">
                  <c:v>0.76438792757761287</c:v>
                </c:pt>
                <c:pt idx="91">
                  <c:v>0.70514736622852858</c:v>
                </c:pt>
                <c:pt idx="92">
                  <c:v>0.65049798689886273</c:v>
                </c:pt>
                <c:pt idx="93">
                  <c:v>0.60008396999718305</c:v>
                </c:pt>
                <c:pt idx="94">
                  <c:v>0.55357707218172747</c:v>
                </c:pt>
                <c:pt idx="95">
                  <c:v>0.51067448918312552</c:v>
                </c:pt>
                <c:pt idx="96">
                  <c:v>0.47109688425974933</c:v>
                </c:pt>
                <c:pt idx="97">
                  <c:v>0.43458656944905621</c:v>
                </c:pt>
                <c:pt idx="98">
                  <c:v>19.302511097750944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6D-4DE7-8910-AB0AC4C41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7104"/>
        <c:axId val="601787432"/>
      </c:scatterChart>
      <c:valAx>
        <c:axId val="601787104"/>
        <c:scaling>
          <c:orientation val="minMax"/>
          <c:max val="48"/>
          <c:min val="-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A8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432"/>
        <c:crosses val="autoZero"/>
        <c:crossBetween val="midCat"/>
        <c:majorUnit val="8"/>
      </c:valAx>
      <c:valAx>
        <c:axId val="6017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7A8BD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87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idp.org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hyperlink" Target="https://www.sidp.org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png"/><Relationship Id="rId1" Type="http://schemas.openxmlformats.org/officeDocument/2006/relationships/hyperlink" Target="https://www.sidp.org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hyperlink" Target="https://www.sidp.org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4.png"/><Relationship Id="rId1" Type="http://schemas.openxmlformats.org/officeDocument/2006/relationships/hyperlink" Target="https://www.sidp.org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idp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317004</xdr:colOff>
      <xdr:row>5</xdr:row>
      <xdr:rowOff>149354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803404" cy="91135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42673</xdr:colOff>
      <xdr:row>20</xdr:row>
      <xdr:rowOff>149354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3048000"/>
          <a:ext cx="652273" cy="91135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16</xdr:col>
      <xdr:colOff>42673</xdr:colOff>
      <xdr:row>20</xdr:row>
      <xdr:rowOff>149354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3048000"/>
          <a:ext cx="652273" cy="91135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15</xdr:row>
      <xdr:rowOff>19050</xdr:rowOff>
    </xdr:from>
    <xdr:to>
      <xdr:col>11</xdr:col>
      <xdr:colOff>76200</xdr:colOff>
      <xdr:row>21</xdr:row>
      <xdr:rowOff>95250</xdr:rowOff>
    </xdr:to>
    <xdr:sp macro="[0]!SelectEmpiricVanc.SelectEmpiricVanc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09800" y="2876550"/>
          <a:ext cx="4572000" cy="12192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438150</xdr:colOff>
      <xdr:row>4</xdr:row>
      <xdr:rowOff>9525</xdr:rowOff>
    </xdr:from>
    <xdr:to>
      <xdr:col>21</xdr:col>
      <xdr:colOff>314325</xdr:colOff>
      <xdr:row>6</xdr:row>
      <xdr:rowOff>9525</xdr:rowOff>
    </xdr:to>
    <xdr:sp macro="[0]!WeMadeThis.WeMadeThis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801350" y="771525"/>
          <a:ext cx="2314575" cy="3810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514349</xdr:colOff>
      <xdr:row>15</xdr:row>
      <xdr:rowOff>47625</xdr:rowOff>
    </xdr:from>
    <xdr:to>
      <xdr:col>22</xdr:col>
      <xdr:colOff>523874</xdr:colOff>
      <xdr:row>21</xdr:row>
      <xdr:rowOff>123825</xdr:rowOff>
    </xdr:to>
    <xdr:sp macro="[0]!SelectTLKvanc.SelectTLKvanc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048749" y="2905125"/>
          <a:ext cx="4886325" cy="12192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485775</xdr:colOff>
      <xdr:row>38</xdr:row>
      <xdr:rowOff>104775</xdr:rowOff>
    </xdr:from>
    <xdr:to>
      <xdr:col>14</xdr:col>
      <xdr:colOff>400050</xdr:colOff>
      <xdr:row>41</xdr:row>
      <xdr:rowOff>123825</xdr:rowOff>
    </xdr:to>
    <xdr:sp macro="[0]!ShowUserform.ShowUserform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81775" y="7343775"/>
          <a:ext cx="2352675" cy="5905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0</xdr:colOff>
      <xdr:row>38</xdr:row>
      <xdr:rowOff>171450</xdr:rowOff>
    </xdr:from>
    <xdr:to>
      <xdr:col>11</xdr:col>
      <xdr:colOff>327227</xdr:colOff>
      <xdr:row>41</xdr:row>
      <xdr:rowOff>57150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7410450"/>
          <a:ext cx="327227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428632</xdr:colOff>
      <xdr:row>5</xdr:row>
      <xdr:rowOff>120779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581407" cy="911354"/>
        </a:xfrm>
        <a:prstGeom prst="rect">
          <a:avLst/>
        </a:prstGeom>
      </xdr:spPr>
    </xdr:pic>
    <xdr:clientData/>
  </xdr:twoCellAnchor>
  <xdr:twoCellAnchor>
    <xdr:from>
      <xdr:col>16</xdr:col>
      <xdr:colOff>581025</xdr:colOff>
      <xdr:row>3</xdr:row>
      <xdr:rowOff>190500</xdr:rowOff>
    </xdr:from>
    <xdr:to>
      <xdr:col>20</xdr:col>
      <xdr:colOff>457200</xdr:colOff>
      <xdr:row>6</xdr:row>
      <xdr:rowOff>0</xdr:rowOff>
    </xdr:to>
    <xdr:sp macro="[0]!SelectMain.SelectMain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581025</xdr:colOff>
      <xdr:row>1</xdr:row>
      <xdr:rowOff>190500</xdr:rowOff>
    </xdr:from>
    <xdr:to>
      <xdr:col>20</xdr:col>
      <xdr:colOff>457200</xdr:colOff>
      <xdr:row>4</xdr:row>
      <xdr:rowOff>0</xdr:rowOff>
    </xdr:to>
    <xdr:sp macro="[0]!SelectMain.SelectMain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581025</xdr:colOff>
      <xdr:row>0</xdr:row>
      <xdr:rowOff>190500</xdr:rowOff>
    </xdr:from>
    <xdr:to>
      <xdr:col>20</xdr:col>
      <xdr:colOff>457200</xdr:colOff>
      <xdr:row>2</xdr:row>
      <xdr:rowOff>0</xdr:rowOff>
    </xdr:to>
    <xdr:sp macro="[0]!SelectMain.SelectMain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9525</xdr:colOff>
      <xdr:row>1</xdr:row>
      <xdr:rowOff>190500</xdr:rowOff>
    </xdr:from>
    <xdr:to>
      <xdr:col>20</xdr:col>
      <xdr:colOff>495300</xdr:colOff>
      <xdr:row>3</xdr:row>
      <xdr:rowOff>180975</xdr:rowOff>
    </xdr:to>
    <xdr:sp macro="[0]!ShowAIONote.ShowAIONote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77500" y="39052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47625</xdr:colOff>
      <xdr:row>1</xdr:row>
      <xdr:rowOff>190500</xdr:rowOff>
    </xdr:to>
    <xdr:sp macro="[0]!ResetEmpVanc.ResetEmpVanc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467975" y="0"/>
          <a:ext cx="248602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180975</xdr:colOff>
      <xdr:row>24</xdr:row>
      <xdr:rowOff>28575</xdr:rowOff>
    </xdr:from>
    <xdr:to>
      <xdr:col>28</xdr:col>
      <xdr:colOff>238125</xdr:colOff>
      <xdr:row>36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485775</xdr:colOff>
      <xdr:row>1</xdr:row>
      <xdr:rowOff>390525</xdr:rowOff>
    </xdr:to>
    <xdr:sp macro="[0]!SelectMain.SelectMain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792075" y="238125"/>
          <a:ext cx="2314575" cy="390525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581025</xdr:colOff>
      <xdr:row>0</xdr:row>
      <xdr:rowOff>190500</xdr:rowOff>
    </xdr:from>
    <xdr:to>
      <xdr:col>13</xdr:col>
      <xdr:colOff>457200</xdr:colOff>
      <xdr:row>3</xdr:row>
      <xdr:rowOff>0</xdr:rowOff>
    </xdr:to>
    <xdr:sp macro="[0]!SelectMain.SelectMain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485775</xdr:colOff>
      <xdr:row>4</xdr:row>
      <xdr:rowOff>390525</xdr:rowOff>
    </xdr:to>
    <xdr:sp macro="[0]!SelectMain.SelectMain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792075" y="238125"/>
          <a:ext cx="2314575" cy="390525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581025</xdr:colOff>
      <xdr:row>3</xdr:row>
      <xdr:rowOff>190500</xdr:rowOff>
    </xdr:from>
    <xdr:to>
      <xdr:col>13</xdr:col>
      <xdr:colOff>457200</xdr:colOff>
      <xdr:row>6</xdr:row>
      <xdr:rowOff>0</xdr:rowOff>
    </xdr:to>
    <xdr:sp macro="[0]!SelectEmpiricVanc.SelectEmpiricVanc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763500" y="190500"/>
          <a:ext cx="2314575" cy="8096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504825</xdr:colOff>
      <xdr:row>4</xdr:row>
      <xdr:rowOff>447675</xdr:rowOff>
    </xdr:from>
    <xdr:to>
      <xdr:col>15</xdr:col>
      <xdr:colOff>333375</xdr:colOff>
      <xdr:row>4</xdr:row>
      <xdr:rowOff>942975</xdr:rowOff>
    </xdr:to>
    <xdr:sp macro="[0]!SelectEmpiricVanc.SelectEmpiricVanc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687300" y="1685925"/>
          <a:ext cx="3486150" cy="495300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9</xdr:col>
      <xdr:colOff>533407</xdr:colOff>
      <xdr:row>4</xdr:row>
      <xdr:rowOff>196979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238125"/>
          <a:ext cx="3581407" cy="91135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304800</xdr:colOff>
      <xdr:row>25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828682</xdr:colOff>
      <xdr:row>5</xdr:row>
      <xdr:rowOff>120779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3581407" cy="911354"/>
        </a:xfrm>
        <a:prstGeom prst="rect">
          <a:avLst/>
        </a:prstGeom>
      </xdr:spPr>
    </xdr:pic>
    <xdr:clientData/>
  </xdr:twoCellAnchor>
  <xdr:twoCellAnchor>
    <xdr:from>
      <xdr:col>17</xdr:col>
      <xdr:colOff>523875</xdr:colOff>
      <xdr:row>22</xdr:row>
      <xdr:rowOff>85725</xdr:rowOff>
    </xdr:from>
    <xdr:to>
      <xdr:col>25</xdr:col>
      <xdr:colOff>476250</xdr:colOff>
      <xdr:row>35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581025</xdr:colOff>
      <xdr:row>3</xdr:row>
      <xdr:rowOff>190500</xdr:rowOff>
    </xdr:from>
    <xdr:to>
      <xdr:col>20</xdr:col>
      <xdr:colOff>457200</xdr:colOff>
      <xdr:row>6</xdr:row>
      <xdr:rowOff>0</xdr:rowOff>
    </xdr:to>
    <xdr:sp macro="[0]!SelectMain.SelectMain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13</xdr:row>
          <xdr:rowOff>19050</xdr:rowOff>
        </xdr:from>
        <xdr:to>
          <xdr:col>3</xdr:col>
          <xdr:colOff>561975</xdr:colOff>
          <xdr:row>14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13</xdr:row>
          <xdr:rowOff>19050</xdr:rowOff>
        </xdr:from>
        <xdr:to>
          <xdr:col>3</xdr:col>
          <xdr:colOff>762000</xdr:colOff>
          <xdr:row>14</xdr:row>
          <xdr:rowOff>0</xdr:rowOff>
        </xdr:to>
        <xdr:sp macro="" textlink="">
          <xdr:nvSpPr>
            <xdr:cNvPr id="3077" name="Button 5" descr="T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19050</xdr:rowOff>
        </xdr:from>
        <xdr:to>
          <xdr:col>3</xdr:col>
          <xdr:colOff>571500</xdr:colOff>
          <xdr:row>17</xdr:row>
          <xdr:rowOff>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590550</xdr:colOff>
          <xdr:row>16</xdr:row>
          <xdr:rowOff>19050</xdr:rowOff>
        </xdr:from>
        <xdr:to>
          <xdr:col>3</xdr:col>
          <xdr:colOff>771525</xdr:colOff>
          <xdr:row>17</xdr:row>
          <xdr:rowOff>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19</xdr:row>
          <xdr:rowOff>19050</xdr:rowOff>
        </xdr:from>
        <xdr:to>
          <xdr:col>3</xdr:col>
          <xdr:colOff>571500</xdr:colOff>
          <xdr:row>19</xdr:row>
          <xdr:rowOff>200025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19</xdr:row>
          <xdr:rowOff>19050</xdr:rowOff>
        </xdr:from>
        <xdr:to>
          <xdr:col>3</xdr:col>
          <xdr:colOff>781050</xdr:colOff>
          <xdr:row>20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581025</xdr:colOff>
      <xdr:row>1</xdr:row>
      <xdr:rowOff>190500</xdr:rowOff>
    </xdr:from>
    <xdr:to>
      <xdr:col>20</xdr:col>
      <xdr:colOff>457200</xdr:colOff>
      <xdr:row>4</xdr:row>
      <xdr:rowOff>0</xdr:rowOff>
    </xdr:to>
    <xdr:sp macro="[0]!SelectTLKnote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1401425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581025</xdr:colOff>
      <xdr:row>0</xdr:row>
      <xdr:rowOff>66675</xdr:rowOff>
    </xdr:from>
    <xdr:to>
      <xdr:col>20</xdr:col>
      <xdr:colOff>457200</xdr:colOff>
      <xdr:row>2</xdr:row>
      <xdr:rowOff>0</xdr:rowOff>
    </xdr:to>
    <xdr:sp macro="[0]!ResetTLKVanc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1401425" y="66675"/>
          <a:ext cx="2314575" cy="3333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9</xdr:col>
      <xdr:colOff>533407</xdr:colOff>
      <xdr:row>5</xdr:row>
      <xdr:rowOff>63629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238125"/>
          <a:ext cx="3581407" cy="91135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485775</xdr:colOff>
      <xdr:row>1</xdr:row>
      <xdr:rowOff>390525</xdr:rowOff>
    </xdr:to>
    <xdr:sp macro="[0]!SelectMain.SelectMain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792075" y="238125"/>
          <a:ext cx="2314575" cy="390525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581025</xdr:colOff>
      <xdr:row>0</xdr:row>
      <xdr:rowOff>190500</xdr:rowOff>
    </xdr:from>
    <xdr:to>
      <xdr:col>13</xdr:col>
      <xdr:colOff>457200</xdr:colOff>
      <xdr:row>3</xdr:row>
      <xdr:rowOff>0</xdr:rowOff>
    </xdr:to>
    <xdr:sp macro="[0]!UpdateTLKnote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763500" y="190500"/>
          <a:ext cx="2314575" cy="8096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485775</xdr:colOff>
      <xdr:row>4</xdr:row>
      <xdr:rowOff>390525</xdr:rowOff>
    </xdr:to>
    <xdr:sp macro="[0]!SelectMain.SelectMain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2792075" y="1238250"/>
          <a:ext cx="2314575" cy="390525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581025</xdr:colOff>
      <xdr:row>3</xdr:row>
      <xdr:rowOff>190500</xdr:rowOff>
    </xdr:from>
    <xdr:to>
      <xdr:col>15</xdr:col>
      <xdr:colOff>381000</xdr:colOff>
      <xdr:row>6</xdr:row>
      <xdr:rowOff>0</xdr:rowOff>
    </xdr:to>
    <xdr:sp macro="[0]!SelectTLKvanc.SelectTLKvanc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2315825" y="847725"/>
          <a:ext cx="3457575" cy="4286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504825</xdr:colOff>
      <xdr:row>4</xdr:row>
      <xdr:rowOff>447675</xdr:rowOff>
    </xdr:from>
    <xdr:to>
      <xdr:col>15</xdr:col>
      <xdr:colOff>333375</xdr:colOff>
      <xdr:row>4</xdr:row>
      <xdr:rowOff>942975</xdr:rowOff>
    </xdr:to>
    <xdr:sp macro="[0]!SelectEmpiricVanc.SelectEmpiricVanc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2687300" y="1685925"/>
          <a:ext cx="3486150" cy="495300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11</xdr:col>
      <xdr:colOff>561975</xdr:colOff>
      <xdr:row>28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485775</xdr:colOff>
      <xdr:row>1</xdr:row>
      <xdr:rowOff>390525</xdr:rowOff>
    </xdr:to>
    <xdr:sp macro="[0]!SelectMain.SelectMain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2344400" y="1514475"/>
          <a:ext cx="2314575" cy="190500"/>
        </a:xfrm>
        <a:prstGeom prst="rect">
          <a:avLst/>
        </a:prstGeom>
        <a:solidFill>
          <a:srgbClr val="4472C4">
            <a:alpha val="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581025</xdr:colOff>
      <xdr:row>0</xdr:row>
      <xdr:rowOff>190500</xdr:rowOff>
    </xdr:from>
    <xdr:to>
      <xdr:col>13</xdr:col>
      <xdr:colOff>457200</xdr:colOff>
      <xdr:row>3</xdr:row>
      <xdr:rowOff>0</xdr:rowOff>
    </xdr:to>
    <xdr:sp macro="[0]!SelectMain.SelectMain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2315825" y="1466850"/>
          <a:ext cx="2314575" cy="4286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428632</xdr:colOff>
      <xdr:row>5</xdr:row>
      <xdr:rowOff>120779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3581407" cy="911354"/>
        </a:xfrm>
        <a:prstGeom prst="rect">
          <a:avLst/>
        </a:prstGeom>
      </xdr:spPr>
    </xdr:pic>
    <xdr:clientData/>
  </xdr:twoCellAnchor>
  <xdr:twoCellAnchor>
    <xdr:from>
      <xdr:col>19</xdr:col>
      <xdr:colOff>600075</xdr:colOff>
      <xdr:row>21</xdr:row>
      <xdr:rowOff>180975</xdr:rowOff>
    </xdr:from>
    <xdr:to>
      <xdr:col>27</xdr:col>
      <xdr:colOff>295275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581025</xdr:colOff>
      <xdr:row>3</xdr:row>
      <xdr:rowOff>190500</xdr:rowOff>
    </xdr:from>
    <xdr:to>
      <xdr:col>20</xdr:col>
      <xdr:colOff>457200</xdr:colOff>
      <xdr:row>6</xdr:row>
      <xdr:rowOff>0</xdr:rowOff>
    </xdr:to>
    <xdr:sp macro="[0]!SelectMain.SelectMain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20</xdr:col>
      <xdr:colOff>485775</xdr:colOff>
      <xdr:row>6</xdr:row>
      <xdr:rowOff>9525</xdr:rowOff>
    </xdr:to>
    <xdr:sp macro="[0]!SelectMain.SelectMain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0467975" y="800100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2</xdr:row>
          <xdr:rowOff>114300</xdr:rowOff>
        </xdr:from>
        <xdr:to>
          <xdr:col>0</xdr:col>
          <xdr:colOff>2933700</xdr:colOff>
          <xdr:row>11</xdr:row>
          <xdr:rowOff>19050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6576" rIns="54864" bIns="36576" anchor="ctr" upright="1"/>
            <a:lstStyle/>
            <a:p>
              <a:pPr algn="ctr" rtl="0">
                <a:defRPr sz="1000"/>
              </a:pPr>
              <a:r>
                <a:rPr lang="en-US" sz="24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UPDATE AFTER CHANGES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317004</xdr:colOff>
      <xdr:row>5</xdr:row>
      <xdr:rowOff>149354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803404" cy="911354"/>
        </a:xfrm>
        <a:prstGeom prst="rect">
          <a:avLst/>
        </a:prstGeom>
      </xdr:spPr>
    </xdr:pic>
    <xdr:clientData/>
  </xdr:twoCellAnchor>
  <xdr:twoCellAnchor>
    <xdr:from>
      <xdr:col>16</xdr:col>
      <xdr:colOff>581025</xdr:colOff>
      <xdr:row>2</xdr:row>
      <xdr:rowOff>190500</xdr:rowOff>
    </xdr:from>
    <xdr:to>
      <xdr:col>20</xdr:col>
      <xdr:colOff>457200</xdr:colOff>
      <xdr:row>5</xdr:row>
      <xdr:rowOff>0</xdr:rowOff>
    </xdr:to>
    <xdr:sp macro="[0]!SelectMain.SelectMain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581025</xdr:colOff>
      <xdr:row>3</xdr:row>
      <xdr:rowOff>190500</xdr:rowOff>
    </xdr:from>
    <xdr:to>
      <xdr:col>20</xdr:col>
      <xdr:colOff>457200</xdr:colOff>
      <xdr:row>6</xdr:row>
      <xdr:rowOff>0</xdr:rowOff>
    </xdr:to>
    <xdr:sp macro="[0]!SelectMain.SelectMain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0439400" y="790575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20</xdr:col>
      <xdr:colOff>485775</xdr:colOff>
      <xdr:row>6</xdr:row>
      <xdr:rowOff>9525</xdr:rowOff>
    </xdr:to>
    <xdr:sp macro="[0]!SelectMain.SelectMain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0467975" y="800100"/>
          <a:ext cx="2314575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E886-0528-42CF-810B-746CAC43F014}">
  <sheetPr codeName="Sheet1"/>
  <dimension ref="A1:AE48"/>
  <sheetViews>
    <sheetView tabSelected="1" zoomScaleNormal="100" workbookViewId="0"/>
  </sheetViews>
  <sheetFormatPr defaultRowHeight="15" x14ac:dyDescent="0.25"/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168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6" t="s">
        <v>225</v>
      </c>
      <c r="S5" s="66"/>
      <c r="T5" s="66"/>
      <c r="U5" s="66"/>
      <c r="V5" s="66"/>
      <c r="W5" s="26"/>
      <c r="X5" s="26"/>
      <c r="Y5" s="1"/>
      <c r="Z5" s="1"/>
      <c r="AA5" s="1"/>
      <c r="AB5" s="1"/>
      <c r="AC5" s="1"/>
      <c r="AD5" s="1"/>
      <c r="AE5" s="1"/>
    </row>
    <row r="6" spans="1:3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6"/>
      <c r="S6" s="66"/>
      <c r="T6" s="66"/>
      <c r="U6" s="66"/>
      <c r="V6" s="66"/>
      <c r="W6" s="26"/>
      <c r="X6" s="26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 x14ac:dyDescent="0.25">
      <c r="A17" s="1"/>
      <c r="B17" s="1"/>
      <c r="C17" s="1"/>
      <c r="D17" s="1"/>
      <c r="E17" s="1"/>
      <c r="F17" s="1"/>
      <c r="G17" s="68" t="s">
        <v>0</v>
      </c>
      <c r="H17" s="68"/>
      <c r="I17" s="68"/>
      <c r="J17" s="68"/>
      <c r="K17" s="68"/>
      <c r="L17" s="1"/>
      <c r="M17" s="1"/>
      <c r="N17" s="1"/>
      <c r="O17" s="1"/>
      <c r="P17" s="1"/>
      <c r="Q17" s="1"/>
      <c r="R17" s="68" t="s">
        <v>1</v>
      </c>
      <c r="S17" s="68"/>
      <c r="T17" s="68"/>
      <c r="U17" s="68"/>
      <c r="V17" s="68"/>
      <c r="W17" s="68"/>
      <c r="X17" s="1"/>
      <c r="Y17" s="1"/>
      <c r="Z17" s="1"/>
      <c r="AA17" s="1"/>
      <c r="AB17" s="1"/>
      <c r="AC17" s="1"/>
      <c r="AD17" s="1"/>
      <c r="AE17" s="1"/>
    </row>
    <row r="18" spans="1:31" ht="15" customHeight="1" x14ac:dyDescent="0.25">
      <c r="A18" s="1"/>
      <c r="B18" s="1"/>
      <c r="C18" s="1"/>
      <c r="D18" s="1"/>
      <c r="E18" s="1"/>
      <c r="F18" s="1"/>
      <c r="G18" s="68"/>
      <c r="H18" s="68"/>
      <c r="I18" s="68"/>
      <c r="J18" s="68"/>
      <c r="K18" s="68"/>
      <c r="L18" s="1"/>
      <c r="M18" s="1"/>
      <c r="N18" s="1"/>
      <c r="O18" s="1"/>
      <c r="P18" s="1"/>
      <c r="Q18" s="1"/>
      <c r="R18" s="68"/>
      <c r="S18" s="68"/>
      <c r="T18" s="68"/>
      <c r="U18" s="68"/>
      <c r="V18" s="68"/>
      <c r="W18" s="68"/>
      <c r="X18" s="1"/>
      <c r="Y18" s="1"/>
      <c r="Z18" s="1"/>
      <c r="AA18" s="1"/>
      <c r="AB18" s="1"/>
      <c r="AC18" s="1"/>
      <c r="AD18" s="1"/>
      <c r="AE18" s="1"/>
    </row>
    <row r="19" spans="1:31" ht="15" customHeight="1" x14ac:dyDescent="0.25">
      <c r="A19" s="1"/>
      <c r="B19" s="1"/>
      <c r="C19" s="1"/>
      <c r="D19" s="1"/>
      <c r="E19" s="1"/>
      <c r="F19" s="1"/>
      <c r="G19" s="68"/>
      <c r="H19" s="68"/>
      <c r="I19" s="68"/>
      <c r="J19" s="68"/>
      <c r="K19" s="68"/>
      <c r="L19" s="1"/>
      <c r="M19" s="1"/>
      <c r="N19" s="1"/>
      <c r="O19" s="1"/>
      <c r="P19" s="1"/>
      <c r="Q19" s="1"/>
      <c r="R19" s="68"/>
      <c r="S19" s="68"/>
      <c r="T19" s="68"/>
      <c r="U19" s="68"/>
      <c r="V19" s="68"/>
      <c r="W19" s="68"/>
      <c r="X19" s="1"/>
      <c r="Y19" s="1"/>
      <c r="Z19" s="1"/>
      <c r="AA19" s="1"/>
      <c r="AB19" s="1"/>
      <c r="AC19" s="1"/>
      <c r="AD19" s="1"/>
      <c r="AE19" s="1"/>
    </row>
    <row r="20" spans="1:31" ht="15" customHeight="1" x14ac:dyDescent="0.25">
      <c r="A20" s="1"/>
      <c r="B20" s="1"/>
      <c r="C20" s="1"/>
      <c r="D20" s="1"/>
      <c r="E20" s="1"/>
      <c r="F20" s="1"/>
      <c r="G20" s="68"/>
      <c r="H20" s="68"/>
      <c r="I20" s="68"/>
      <c r="J20" s="68"/>
      <c r="K20" s="68"/>
      <c r="L20" s="1"/>
      <c r="M20" s="1"/>
      <c r="N20" s="1"/>
      <c r="O20" s="1"/>
      <c r="P20" s="1"/>
      <c r="Q20" s="1"/>
      <c r="R20" s="68"/>
      <c r="S20" s="68"/>
      <c r="T20" s="68"/>
      <c r="U20" s="68"/>
      <c r="V20" s="68"/>
      <c r="W20" s="68"/>
      <c r="X20" s="1"/>
      <c r="Y20" s="1"/>
      <c r="Z20" s="1"/>
      <c r="AA20" s="1"/>
      <c r="AB20" s="1"/>
      <c r="AC20" s="1"/>
      <c r="AD20" s="1"/>
      <c r="AE20" s="1"/>
    </row>
    <row r="21" spans="1:31" ht="15" customHeight="1" x14ac:dyDescent="0.25">
      <c r="A21" s="1"/>
      <c r="B21" s="1"/>
      <c r="C21" s="1"/>
      <c r="D21" s="1"/>
      <c r="E21" s="1"/>
      <c r="F21" s="1"/>
      <c r="G21" s="68"/>
      <c r="H21" s="68"/>
      <c r="I21" s="68"/>
      <c r="J21" s="68"/>
      <c r="K21" s="68"/>
      <c r="L21" s="1"/>
      <c r="M21" s="1"/>
      <c r="N21" s="1"/>
      <c r="O21" s="1"/>
      <c r="P21" s="1"/>
      <c r="Q21" s="1"/>
      <c r="R21" s="68"/>
      <c r="S21" s="68"/>
      <c r="T21" s="68"/>
      <c r="U21" s="68"/>
      <c r="V21" s="68"/>
      <c r="W21" s="68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68"/>
      <c r="H26" s="68"/>
      <c r="I26" s="68"/>
      <c r="J26" s="68"/>
      <c r="K26" s="68"/>
      <c r="L26" s="1"/>
      <c r="M26" s="1"/>
      <c r="N26" s="1"/>
      <c r="O26" s="1"/>
      <c r="P26" s="1"/>
      <c r="Q26" s="1"/>
      <c r="R26" s="68"/>
      <c r="S26" s="68"/>
      <c r="T26" s="68"/>
      <c r="U26" s="68"/>
      <c r="V26" s="68"/>
      <c r="W26" s="68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68"/>
      <c r="H27" s="68"/>
      <c r="I27" s="68"/>
      <c r="J27" s="68"/>
      <c r="K27" s="68"/>
      <c r="L27" s="1"/>
      <c r="M27" s="1"/>
      <c r="N27" s="1"/>
      <c r="O27" s="1"/>
      <c r="P27" s="1"/>
      <c r="Q27" s="1"/>
      <c r="R27" s="68"/>
      <c r="S27" s="68"/>
      <c r="T27" s="68"/>
      <c r="U27" s="68"/>
      <c r="V27" s="68"/>
      <c r="W27" s="68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68"/>
      <c r="H28" s="68"/>
      <c r="I28" s="68"/>
      <c r="J28" s="68"/>
      <c r="K28" s="68"/>
      <c r="L28" s="1"/>
      <c r="M28" s="1"/>
      <c r="N28" s="1"/>
      <c r="O28" s="1"/>
      <c r="P28" s="1"/>
      <c r="Q28" s="1"/>
      <c r="R28" s="68"/>
      <c r="S28" s="68"/>
      <c r="T28" s="68"/>
      <c r="U28" s="68"/>
      <c r="V28" s="68"/>
      <c r="W28" s="68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68"/>
      <c r="H29" s="68"/>
      <c r="I29" s="68"/>
      <c r="J29" s="68"/>
      <c r="K29" s="68"/>
      <c r="L29" s="1"/>
      <c r="M29" s="1"/>
      <c r="N29" s="1"/>
      <c r="O29" s="1"/>
      <c r="P29" s="1"/>
      <c r="Q29" s="1"/>
      <c r="R29" s="68"/>
      <c r="S29" s="68"/>
      <c r="T29" s="68"/>
      <c r="U29" s="68"/>
      <c r="V29" s="68"/>
      <c r="W29" s="68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68"/>
      <c r="H30" s="68"/>
      <c r="I30" s="68"/>
      <c r="J30" s="68"/>
      <c r="K30" s="68"/>
      <c r="L30" s="1"/>
      <c r="M30" s="1"/>
      <c r="N30" s="1"/>
      <c r="O30" s="1"/>
      <c r="P30" s="1"/>
      <c r="Q30" s="1"/>
      <c r="R30" s="68"/>
      <c r="S30" s="68"/>
      <c r="T30" s="68"/>
      <c r="U30" s="68"/>
      <c r="V30" s="68"/>
      <c r="W30" s="68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7" t="s">
        <v>196</v>
      </c>
      <c r="M40" s="67"/>
      <c r="N40" s="67"/>
      <c r="O40" s="6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7"/>
      <c r="M41" s="67"/>
      <c r="N41" s="67"/>
      <c r="O41" s="6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sheetProtection sheet="1" objects="1" scenarios="1" selectLockedCells="1"/>
  <mergeCells count="6">
    <mergeCell ref="R5:V6"/>
    <mergeCell ref="L40:O41"/>
    <mergeCell ref="G17:K21"/>
    <mergeCell ref="G26:K30"/>
    <mergeCell ref="R17:W21"/>
    <mergeCell ref="R26:W30"/>
  </mergeCells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3663-F63E-4C2F-ADC9-262360B65BCE}">
  <sheetPr codeName="Sheet4"/>
  <dimension ref="A1:AB124"/>
  <sheetViews>
    <sheetView topLeftCell="B41" zoomScaleNormal="100" workbookViewId="0">
      <selection activeCell="L53" sqref="L53:P87"/>
    </sheetView>
  </sheetViews>
  <sheetFormatPr defaultRowHeight="15" x14ac:dyDescent="0.25"/>
  <cols>
    <col min="1" max="1" width="45.85546875" bestFit="1" customWidth="1"/>
    <col min="2" max="2" width="8.42578125" bestFit="1" customWidth="1"/>
    <col min="3" max="3" width="9.5703125" bestFit="1" customWidth="1"/>
    <col min="4" max="4" width="13.28515625" bestFit="1" customWidth="1"/>
    <col min="5" max="5" width="13.85546875" bestFit="1" customWidth="1"/>
    <col min="6" max="6" width="16.7109375" bestFit="1" customWidth="1"/>
    <col min="7" max="8" width="4.5703125" bestFit="1" customWidth="1"/>
    <col min="9" max="9" width="21.85546875" bestFit="1" customWidth="1"/>
    <col min="10" max="10" width="24.7109375" bestFit="1" customWidth="1"/>
    <col min="11" max="11" width="19" bestFit="1" customWidth="1"/>
    <col min="12" max="12" width="17.7109375" customWidth="1"/>
    <col min="13" max="13" width="19.5703125" customWidth="1"/>
    <col min="14" max="14" width="18.85546875" customWidth="1"/>
    <col min="15" max="15" width="14.7109375" bestFit="1" customWidth="1"/>
  </cols>
  <sheetData>
    <row r="1" spans="1:21" ht="21" x14ac:dyDescent="0.35">
      <c r="A1" s="49" t="s">
        <v>3</v>
      </c>
      <c r="J1" s="50" t="s">
        <v>198</v>
      </c>
      <c r="K1" s="57" t="s">
        <v>195</v>
      </c>
      <c r="U1" t="s">
        <v>231</v>
      </c>
    </row>
    <row r="2" spans="1:21" ht="21" x14ac:dyDescent="0.35">
      <c r="A2" s="49" t="s">
        <v>199</v>
      </c>
      <c r="U2" t="s">
        <v>232</v>
      </c>
    </row>
    <row r="5" spans="1:21" x14ac:dyDescent="0.25">
      <c r="B5" t="s">
        <v>6</v>
      </c>
      <c r="C5" t="s">
        <v>21</v>
      </c>
      <c r="D5" t="s">
        <v>22</v>
      </c>
      <c r="E5" t="s">
        <v>25</v>
      </c>
      <c r="F5" s="108" t="s">
        <v>27</v>
      </c>
      <c r="G5" s="108"/>
      <c r="H5" s="108"/>
      <c r="I5" t="s">
        <v>49</v>
      </c>
      <c r="J5" t="s">
        <v>47</v>
      </c>
    </row>
    <row r="6" spans="1:21" x14ac:dyDescent="0.25">
      <c r="B6" s="55" t="s">
        <v>19</v>
      </c>
      <c r="C6" s="55">
        <v>0.4</v>
      </c>
      <c r="D6" s="55" t="s">
        <v>23</v>
      </c>
      <c r="E6" s="55" t="s">
        <v>17</v>
      </c>
      <c r="F6" t="s">
        <v>28</v>
      </c>
      <c r="G6" s="56">
        <v>0.3</v>
      </c>
      <c r="H6" s="6">
        <f>1+G6</f>
        <v>1.3</v>
      </c>
      <c r="I6" s="55" t="s">
        <v>12</v>
      </c>
      <c r="J6" s="55" t="s">
        <v>48</v>
      </c>
      <c r="K6" s="55" t="s">
        <v>173</v>
      </c>
    </row>
    <row r="7" spans="1:21" x14ac:dyDescent="0.25">
      <c r="B7" s="55" t="s">
        <v>20</v>
      </c>
      <c r="C7" s="55">
        <v>9.9</v>
      </c>
      <c r="D7" s="55" t="s">
        <v>24</v>
      </c>
      <c r="E7" s="55" t="s">
        <v>26</v>
      </c>
      <c r="F7" t="s">
        <v>29</v>
      </c>
      <c r="G7" s="56">
        <v>0.4</v>
      </c>
      <c r="H7" s="5">
        <f>G7</f>
        <v>0.4</v>
      </c>
      <c r="I7" s="55" t="s">
        <v>13</v>
      </c>
      <c r="J7" s="55" t="s">
        <v>10</v>
      </c>
      <c r="K7" s="55" t="s">
        <v>174</v>
      </c>
    </row>
    <row r="8" spans="1:21" x14ac:dyDescent="0.25">
      <c r="I8" s="55" t="s">
        <v>14</v>
      </c>
      <c r="J8" s="55" t="s">
        <v>9</v>
      </c>
    </row>
    <row r="9" spans="1:21" x14ac:dyDescent="0.25">
      <c r="I9" s="55" t="s">
        <v>63</v>
      </c>
      <c r="J9" s="55" t="s">
        <v>63</v>
      </c>
    </row>
    <row r="12" spans="1:21" x14ac:dyDescent="0.25">
      <c r="B12" t="s">
        <v>143</v>
      </c>
      <c r="E12" s="19" t="s">
        <v>121</v>
      </c>
      <c r="F12" s="19"/>
      <c r="K12" t="s">
        <v>143</v>
      </c>
    </row>
    <row r="13" spans="1:21" x14ac:dyDescent="0.25">
      <c r="B13" t="s">
        <v>122</v>
      </c>
      <c r="E13" s="14">
        <v>500</v>
      </c>
      <c r="F13" s="55">
        <v>0.5</v>
      </c>
      <c r="K13" t="s">
        <v>50</v>
      </c>
      <c r="L13" t="s">
        <v>54</v>
      </c>
    </row>
    <row r="14" spans="1:21" x14ac:dyDescent="0.25">
      <c r="E14" s="12">
        <v>750</v>
      </c>
      <c r="F14" s="55">
        <v>1</v>
      </c>
      <c r="I14" t="s">
        <v>233</v>
      </c>
      <c r="K14" s="55" t="s">
        <v>51</v>
      </c>
      <c r="L14" s="55" t="s">
        <v>55</v>
      </c>
    </row>
    <row r="15" spans="1:21" x14ac:dyDescent="0.25">
      <c r="A15" s="7" t="s">
        <v>33</v>
      </c>
      <c r="B15" s="55">
        <v>500</v>
      </c>
      <c r="E15" s="12">
        <v>1000</v>
      </c>
      <c r="F15" s="55">
        <v>1</v>
      </c>
      <c r="I15">
        <v>8</v>
      </c>
      <c r="J15" s="55" t="s">
        <v>231</v>
      </c>
      <c r="K15" s="55" t="s">
        <v>52</v>
      </c>
      <c r="L15" s="55" t="s">
        <v>56</v>
      </c>
    </row>
    <row r="16" spans="1:21" x14ac:dyDescent="0.25">
      <c r="A16" s="7" t="s">
        <v>34</v>
      </c>
      <c r="B16" s="55">
        <v>35</v>
      </c>
      <c r="E16" s="12">
        <v>1250</v>
      </c>
      <c r="F16" s="55">
        <v>1.5</v>
      </c>
      <c r="I16">
        <v>12</v>
      </c>
      <c r="J16" s="55" t="s">
        <v>231</v>
      </c>
      <c r="K16" s="55" t="s">
        <v>53</v>
      </c>
      <c r="L16" s="55" t="s">
        <v>57</v>
      </c>
    </row>
    <row r="17" spans="1:20" x14ac:dyDescent="0.25">
      <c r="A17" s="7" t="s">
        <v>35</v>
      </c>
      <c r="B17" s="55">
        <v>12.5</v>
      </c>
      <c r="E17" s="12">
        <v>1500</v>
      </c>
      <c r="F17" s="55">
        <v>1.5</v>
      </c>
      <c r="I17">
        <v>18</v>
      </c>
      <c r="J17" s="55" t="s">
        <v>232</v>
      </c>
    </row>
    <row r="18" spans="1:20" x14ac:dyDescent="0.25">
      <c r="A18" s="7" t="s">
        <v>36</v>
      </c>
      <c r="B18" s="55" t="s">
        <v>12</v>
      </c>
      <c r="E18" s="12">
        <v>1750</v>
      </c>
      <c r="F18" s="55">
        <v>2</v>
      </c>
      <c r="I18">
        <v>24</v>
      </c>
      <c r="J18" s="55" t="s">
        <v>231</v>
      </c>
    </row>
    <row r="19" spans="1:20" x14ac:dyDescent="0.25">
      <c r="A19" s="7" t="s">
        <v>37</v>
      </c>
      <c r="B19" s="55" t="s">
        <v>48</v>
      </c>
      <c r="E19" s="12">
        <v>2000</v>
      </c>
      <c r="F19" s="55">
        <v>2</v>
      </c>
      <c r="I19">
        <v>36</v>
      </c>
      <c r="J19" s="55" t="s">
        <v>232</v>
      </c>
    </row>
    <row r="20" spans="1:20" x14ac:dyDescent="0.25">
      <c r="A20" s="7" t="s">
        <v>38</v>
      </c>
      <c r="B20" s="55">
        <v>0.65</v>
      </c>
      <c r="E20" s="12">
        <v>2250</v>
      </c>
      <c r="F20" s="55">
        <v>2.5</v>
      </c>
      <c r="I20">
        <v>48</v>
      </c>
      <c r="J20" s="55" t="s">
        <v>231</v>
      </c>
    </row>
    <row r="21" spans="1:20" x14ac:dyDescent="0.25">
      <c r="A21" s="7" t="s">
        <v>39</v>
      </c>
      <c r="B21" s="55" t="s">
        <v>52</v>
      </c>
      <c r="E21" s="12">
        <v>2500</v>
      </c>
      <c r="F21" s="55">
        <v>2.5</v>
      </c>
    </row>
    <row r="22" spans="1:20" x14ac:dyDescent="0.25">
      <c r="A22" s="7" t="s">
        <v>40</v>
      </c>
      <c r="B22" s="55"/>
    </row>
    <row r="23" spans="1:20" x14ac:dyDescent="0.25">
      <c r="A23" s="7" t="s">
        <v>41</v>
      </c>
      <c r="B23" s="55"/>
    </row>
    <row r="24" spans="1:20" x14ac:dyDescent="0.25">
      <c r="A24" s="7" t="s">
        <v>42</v>
      </c>
      <c r="B24" s="55">
        <v>1</v>
      </c>
    </row>
    <row r="31" spans="1:20" x14ac:dyDescent="0.25">
      <c r="B31" s="20" t="s">
        <v>123</v>
      </c>
      <c r="I31" t="s">
        <v>209</v>
      </c>
      <c r="O31" s="20" t="s">
        <v>123</v>
      </c>
      <c r="T31" t="s">
        <v>214</v>
      </c>
    </row>
    <row r="32" spans="1:20" x14ac:dyDescent="0.25">
      <c r="A32" s="20" t="s">
        <v>103</v>
      </c>
      <c r="B32" s="55" t="s">
        <v>104</v>
      </c>
      <c r="C32" s="55" t="s">
        <v>105</v>
      </c>
      <c r="D32" s="55" t="s">
        <v>212</v>
      </c>
      <c r="I32" t="str">
        <f>CONCATENATE(B32," ",EmpiricVANCOMYCINcalc!E10," ",DLsheet!C32," ",EmpiricVANCOMYCINcalc!E11," ",D32)</f>
        <v xml:space="preserve">This is a  year old  patient with [insert PMH, infection source, and culture data here].  </v>
      </c>
      <c r="N32" s="20" t="s">
        <v>213</v>
      </c>
      <c r="O32" s="55" t="s">
        <v>104</v>
      </c>
      <c r="P32" s="55" t="s">
        <v>223</v>
      </c>
      <c r="T32" t="str">
        <f>CONCATENATE(O32," ",TwoLevelVANCOMYCINcalc!E10,P32)</f>
        <v>This is a Steady State follow up dosing note</v>
      </c>
    </row>
    <row r="33" spans="2:20" x14ac:dyDescent="0.25">
      <c r="B33" s="55" t="s">
        <v>120</v>
      </c>
      <c r="C33" s="55" t="s">
        <v>201</v>
      </c>
      <c r="I33" t="str">
        <f>CONCATENATE(B33," ", EmpiricVANCOMYCINcalc!E12," ",C33)</f>
        <v xml:space="preserve">Measured serum creatinine (SCr) is  mg/dL. </v>
      </c>
      <c r="O33" s="55" t="s">
        <v>217</v>
      </c>
      <c r="T33" t="str">
        <f>CONCATENATE(O33," ",TwoLevelVANCOMYCINcalc!E11,TwoLevelVANCOMYCINcalc!G11," q",TwoLevelVANCOMYCINcalc!E12,TwoLevelVANCOMYCINcalc!G12)</f>
        <v>Current dosing regimen: mg qhrs</v>
      </c>
    </row>
    <row r="34" spans="2:20" x14ac:dyDescent="0.25">
      <c r="B34" s="55" t="s">
        <v>109</v>
      </c>
      <c r="C34" s="55" t="s">
        <v>106</v>
      </c>
      <c r="D34" s="55" t="s">
        <v>107</v>
      </c>
      <c r="E34" s="55" t="s">
        <v>108</v>
      </c>
      <c r="F34" s="55" t="s">
        <v>202</v>
      </c>
      <c r="I34" t="e">
        <f>CONCATENATE(B34," ",EmpiricVANCOMYCINcalc!E13," ",EmpiricVANCOMYCINcalc!G13," ",DLsheet!C34,EmpiricVANCOMYCINcalc!E14," ",EmpiricVANCOMYCINcalc!G14,", ",DLsheet!D34," ",ROUND(EmpiricVANCOMYCINcalc!V17,1)," ",DLsheet!E34," ",EmpiricVANCOMYCINcalc!T17," ",DLsheet!F34)</f>
        <v>#VALUE!</v>
      </c>
      <c r="O34" s="55" t="s">
        <v>221</v>
      </c>
      <c r="P34" s="55" t="s">
        <v>222</v>
      </c>
      <c r="T34" t="str">
        <f ca="1">CONCATENATE(O34,TEXT(TwoLevelVANCOMYCINcalc!E14,"MM/DD/YYYY")," ",TEXT(TwoLevelVANCOMYCINcalc!F14,"HH:MM AM/PM"),P34)</f>
        <v>Levels were collected with the following data after the 06/17/2021 06:00 AM dose:</v>
      </c>
    </row>
    <row r="35" spans="2:20" x14ac:dyDescent="0.25">
      <c r="B35" s="55" t="s">
        <v>200</v>
      </c>
      <c r="I35" t="str">
        <f>B35</f>
        <v>The following targets were selected for dosing:</v>
      </c>
      <c r="O35" s="55" t="s">
        <v>215</v>
      </c>
      <c r="P35" s="55" t="s">
        <v>82</v>
      </c>
      <c r="T35" t="str">
        <f ca="1">CONCATENATE("  - ",O35,CHAR(10),TwoLevelVANCOMYCINcalc!E16,P35,"  ", TEXT(TwoLevelVANCOMYCINcalc!E17,"MM/DD/YYYY")," @ ",TEXT(TwoLevelVANCOMYCINcalc!F17,"HH:MM AM/PM"))</f>
        <v xml:space="preserve">  - Level 1:  
mcg/mL  06/17/2021 @ 12:00 PM</v>
      </c>
    </row>
    <row r="36" spans="2:20" x14ac:dyDescent="0.25">
      <c r="B36" s="55" t="s">
        <v>110</v>
      </c>
      <c r="C36" s="55" t="s">
        <v>81</v>
      </c>
      <c r="I36" t="str">
        <f>CONCATENATE("  - ",B36,EmpiricVANCOMYCINcalc!T10, " ",C36)</f>
        <v xml:space="preserve">  - Desired AUC = 500 mcg*h/mL</v>
      </c>
      <c r="O36" s="55" t="s">
        <v>216</v>
      </c>
      <c r="P36" s="55" t="s">
        <v>82</v>
      </c>
      <c r="T36" t="str">
        <f ca="1">CONCATENATE("  - ",O36,CHAR(10),TwoLevelVANCOMYCINcalc!E19,P36,"  ", TEXT(TwoLevelVANCOMYCINcalc!E20,"MM/DD/YYYY")," @ ",TEXT(TwoLevelVANCOMYCINcalc!F20,"HH:MM AM/PM"))</f>
        <v xml:space="preserve">  - Level 2: 
mcg/mL  06/17/2021 @ 06:00 PM</v>
      </c>
    </row>
    <row r="37" spans="2:20" x14ac:dyDescent="0.25">
      <c r="B37" s="55" t="s">
        <v>111</v>
      </c>
      <c r="C37" s="55" t="s">
        <v>82</v>
      </c>
      <c r="I37" t="str">
        <f>CONCATENATE("  - ",B37,EmpiricVANCOMYCINcalc!T11," ",C37)</f>
        <v xml:space="preserve">  - Desired Cmax = 35 mcg/mL</v>
      </c>
      <c r="O37" s="55" t="s">
        <v>110</v>
      </c>
      <c r="P37" s="55" t="s">
        <v>81</v>
      </c>
      <c r="T37" t="str">
        <f>CONCATENATE("  - ",O37,TwoLevelVANCOMYCINcalc!M10,DLsheet!P37)</f>
        <v xml:space="preserve">  - Desired AUC = 500mcg*h/mL</v>
      </c>
    </row>
    <row r="38" spans="2:20" x14ac:dyDescent="0.25">
      <c r="B38" s="55" t="s">
        <v>112</v>
      </c>
      <c r="C38" s="55" t="s">
        <v>82</v>
      </c>
      <c r="I38" t="str">
        <f>CONCATENATE("  - ",B38,EmpiricVANCOMYCINcalc!T12," ",C38)</f>
        <v xml:space="preserve">  - Desired Cmin = 12.5 mcg/mL</v>
      </c>
      <c r="O38" s="55" t="s">
        <v>111</v>
      </c>
      <c r="P38" s="55" t="s">
        <v>82</v>
      </c>
      <c r="T38" t="str">
        <f>CONCATENATE("  - ",O38,TwoLevelVANCOMYCINcalc!M11,DLsheet!P38)</f>
        <v xml:space="preserve">  - Desired Cmax = 35mcg/mL</v>
      </c>
    </row>
    <row r="39" spans="2:20" x14ac:dyDescent="0.25">
      <c r="B39" s="55" t="s">
        <v>113</v>
      </c>
      <c r="C39" s="55" t="s">
        <v>115</v>
      </c>
      <c r="I39" t="str">
        <f>CONCATENATE("  - ",B39,EmpiricVANCOMYCINcalc!T13," ",DLsheet!C39)</f>
        <v xml:space="preserve">  - Vd coefficient = 0.65 L/kg</v>
      </c>
      <c r="O39" s="55" t="s">
        <v>112</v>
      </c>
      <c r="P39" s="55" t="s">
        <v>82</v>
      </c>
      <c r="T39" t="str">
        <f>CONCATENATE("  - ",O39,TwoLevelVANCOMYCINcalc!M12,DLsheet!P39)</f>
        <v xml:space="preserve">  - Desired Cmin = 12.5mcg/mL</v>
      </c>
    </row>
    <row r="40" spans="2:20" x14ac:dyDescent="0.25">
      <c r="B40" s="55" t="s">
        <v>114</v>
      </c>
      <c r="I40" t="str">
        <f>CONCATENATE("  - ",B40,EmpiricVANCOMYCINcalc!T16)</f>
        <v xml:space="preserve">  - Ke equation = CrCl*0.00083+0.0044</v>
      </c>
      <c r="O40" s="55" t="s">
        <v>119</v>
      </c>
      <c r="P40" s="55" t="s">
        <v>116</v>
      </c>
      <c r="T40" t="e">
        <f>CONCATENATE("  - ",O40,ROUND(TwoLevelVANCOMYCINcalc!E23,3)," ",P40)</f>
        <v>#VALUE!</v>
      </c>
    </row>
    <row r="41" spans="2:20" x14ac:dyDescent="0.25">
      <c r="B41" s="55" t="s">
        <v>210</v>
      </c>
      <c r="I41" t="str">
        <f>B41</f>
        <v xml:space="preserve">Based on above, the following are calculated parameters for AUC-based vancomycin dosing in this patient: </v>
      </c>
      <c r="O41" s="55" t="s">
        <v>218</v>
      </c>
      <c r="P41" s="55" t="s">
        <v>46</v>
      </c>
      <c r="T41" t="e">
        <f>CONCATENATE("  - ",O41,ROUND(TwoLevelVANCOMYCINcalc!E24,1)," ",P41)</f>
        <v>#VALUE!</v>
      </c>
    </row>
    <row r="42" spans="2:20" x14ac:dyDescent="0.25">
      <c r="B42" s="55" t="s">
        <v>118</v>
      </c>
      <c r="C42" s="55" t="s">
        <v>66</v>
      </c>
      <c r="I42" t="str">
        <f>CONCATENATE("  - ",B42,EmpiricVANCOMYCINcalc!E26,C42)</f>
        <v xml:space="preserve">  - Calculated Vd = L</v>
      </c>
      <c r="O42" s="55" t="s">
        <v>118</v>
      </c>
      <c r="P42" s="55" t="s">
        <v>219</v>
      </c>
      <c r="T42" t="e">
        <f>CONCATENATE("  - ",O42,ROUND(TwoLevelVANCOMYCINcalc!E27,1)," ",P42)</f>
        <v>#DIV/0!</v>
      </c>
    </row>
    <row r="43" spans="2:20" x14ac:dyDescent="0.25">
      <c r="B43" s="55" t="s">
        <v>119</v>
      </c>
      <c r="C43" s="55" t="s">
        <v>116</v>
      </c>
      <c r="I43" t="e">
        <f>CONCATENATE("  - ",B43,ROUND(EmpiricVANCOMYCINcalc!E27,3)," ",C43)</f>
        <v>#VALUE!</v>
      </c>
      <c r="O43" s="55" t="s">
        <v>220</v>
      </c>
      <c r="T43" t="e">
        <f>CONCATENATE(O43,TwoLevelVANCOMYCINcalc!M23,TwoLevelVANCOMYCINcalc!P23," q",TwoLevelVANCOMYCINcalc!M24,TwoLevelVANCOMYCINcalc!P24)</f>
        <v>#DIV/0!</v>
      </c>
    </row>
    <row r="44" spans="2:20" x14ac:dyDescent="0.25">
      <c r="B44" s="55" t="s">
        <v>117</v>
      </c>
      <c r="C44" t="s">
        <v>46</v>
      </c>
      <c r="I44" t="e">
        <f>CONCATENATE("  - ",B44,ROUND(EmpiricVANCOMYCINcalc!E28,1)," ",DLsheet!C44)</f>
        <v>#VALUE!</v>
      </c>
      <c r="O44" s="55" t="s">
        <v>127</v>
      </c>
      <c r="T44" t="str">
        <f>O44</f>
        <v>Which is predicted to achieve the following parameters:</v>
      </c>
    </row>
    <row r="45" spans="2:20" x14ac:dyDescent="0.25">
      <c r="B45" s="55" t="s">
        <v>211</v>
      </c>
      <c r="I45" t="e">
        <f>CONCATENATE(B45,EmpiricVANCOMYCINcalc!Q26,EmpiricVANCOMYCINcalc!T26," q",EmpiricVANCOMYCINcalc!Q27,EmpiricVANCOMYCINcalc!T27)</f>
        <v>#VALUE!</v>
      </c>
      <c r="O45" s="55" t="s">
        <v>124</v>
      </c>
      <c r="P45" s="55" t="s">
        <v>81</v>
      </c>
      <c r="T45" t="e">
        <f>CONCATENATE("  - ",O45,ROUND(TwoLevelVANCOMYCINcalc!M26,1)," ",P45)</f>
        <v>#DIV/0!</v>
      </c>
    </row>
    <row r="46" spans="2:20" x14ac:dyDescent="0.25">
      <c r="B46" s="55" t="s">
        <v>127</v>
      </c>
      <c r="I46" t="str">
        <f>B46</f>
        <v>Which is predicted to achieve the following parameters:</v>
      </c>
      <c r="O46" s="55" t="s">
        <v>125</v>
      </c>
      <c r="P46" s="55" t="s">
        <v>82</v>
      </c>
      <c r="T46" t="e">
        <f>CONCATENATE("  - ",O46,ROUND(TwoLevelVANCOMYCINcalc!M27,1)," ",P46)</f>
        <v>#DIV/0!</v>
      </c>
    </row>
    <row r="47" spans="2:20" x14ac:dyDescent="0.25">
      <c r="B47" s="55" t="s">
        <v>124</v>
      </c>
      <c r="C47" s="55" t="s">
        <v>81</v>
      </c>
      <c r="I47" t="e">
        <f>CONCATENATE("  - ",B47,ROUND(EmpiricVANCOMYCINcalc!Q29,1), " ",C47)</f>
        <v>#VALUE!</v>
      </c>
      <c r="O47" s="55" t="s">
        <v>126</v>
      </c>
      <c r="P47" s="55" t="s">
        <v>82</v>
      </c>
      <c r="T47" t="e">
        <f>CONCATENATE("  - ",O47,ROUND(TwoLevelVANCOMYCINcalc!M28,1)," ",P47)</f>
        <v>#DIV/0!</v>
      </c>
    </row>
    <row r="48" spans="2:20" x14ac:dyDescent="0.25">
      <c r="B48" s="55" t="s">
        <v>125</v>
      </c>
      <c r="C48" s="55" t="s">
        <v>82</v>
      </c>
      <c r="I48" t="e">
        <f>CONCATENATE("  - ",B48,ROUND(EmpiricVANCOMYCINcalc!Q30,1)," ",C48)</f>
        <v>#VALUE!</v>
      </c>
    </row>
    <row r="49" spans="1:28" x14ac:dyDescent="0.25">
      <c r="B49" s="55" t="s">
        <v>126</v>
      </c>
      <c r="C49" s="55" t="s">
        <v>82</v>
      </c>
      <c r="I49" t="e">
        <f>CONCATENATE("  - ",B49,ROUND(EmpiricVANCOMYCINcalc!Q31,1)," ",C49)</f>
        <v>#VALUE!</v>
      </c>
    </row>
    <row r="52" spans="1:28" x14ac:dyDescent="0.25">
      <c r="K52" t="s">
        <v>208</v>
      </c>
      <c r="T52" t="s">
        <v>238</v>
      </c>
    </row>
    <row r="53" spans="1:28" ht="15" customHeight="1" x14ac:dyDescent="0.25">
      <c r="A53" s="7" t="s">
        <v>203</v>
      </c>
      <c r="B53" s="54" t="e">
        <f>CONCATENATE(I32,I33,I34)</f>
        <v>#VALUE!</v>
      </c>
      <c r="C53" s="54"/>
      <c r="D53" s="54"/>
      <c r="E53" s="54"/>
      <c r="F53" s="54"/>
      <c r="G53" s="54"/>
      <c r="H53" s="54"/>
      <c r="I53" s="54"/>
      <c r="J53" s="54"/>
      <c r="K53" s="54"/>
      <c r="L53" s="107" t="e">
        <f>CONCATENATE(A53,CHAR(10),I32,I33,CHAR(10),CHAR(10),I34,CHAR(10),CHAR(10),I35,CHAR(10),CHAR(10),I36,CHAR(10),I37,CHAR(10),I38,CHAR(10),I39,CHAR(10),I40,CHAR(10),CHAR(10),A66,CHAR(10),I41,CHAR(10),I42,CHAR(10),I43,CHAR(10),I44,CHAR(10),CHAR(10),A72,CHAR(10),I45,CHAR(10),CHAR(10),I46,CHAR(10),I47,CHAR(10),I48,CHAR(10),I49)</f>
        <v>#VALUE!</v>
      </c>
      <c r="M53" s="107"/>
      <c r="N53" s="107"/>
      <c r="O53" s="107"/>
      <c r="P53" s="107"/>
      <c r="V53" s="107" t="e">
        <f ca="1">CONCATENATE(A53,CHAR(10),T32,CHAR(10),T33,CHAR(10),CHAR(10),T34,CHAR(10),CHAR(10),T35,CHAR(10),CHAR(10),T36,CHAR(10),CHAR(10),T37,CHAR(10),T38,CHAR(10),T39,CHAR(10),CHAR(10),CHAR(10),A66,CHAR(10),T40,CHAR(10),T41,CHAR(10),T42,CHAR(10),CHAR(10),A72,CHAR(10),T43,CHAR(10),CHAR(10),T44,CHAR(10),T45,CHAR(10),T46,CHAR(10),T47)</f>
        <v>#VALUE!</v>
      </c>
      <c r="W53" s="107"/>
      <c r="X53" s="107"/>
      <c r="Y53" s="107"/>
      <c r="Z53" s="107"/>
      <c r="AA53" s="107"/>
      <c r="AB53" s="107"/>
    </row>
    <row r="54" spans="1:28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107"/>
      <c r="M54" s="107"/>
      <c r="N54" s="107"/>
      <c r="O54" s="107"/>
      <c r="P54" s="107"/>
      <c r="V54" s="107"/>
      <c r="W54" s="107"/>
      <c r="X54" s="107"/>
      <c r="Y54" s="107"/>
      <c r="Z54" s="107"/>
      <c r="AA54" s="107"/>
      <c r="AB54" s="107"/>
    </row>
    <row r="55" spans="1:28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107"/>
      <c r="M55" s="107"/>
      <c r="N55" s="107"/>
      <c r="O55" s="107"/>
      <c r="P55" s="107"/>
      <c r="V55" s="107"/>
      <c r="W55" s="107"/>
      <c r="X55" s="107"/>
      <c r="Y55" s="107"/>
      <c r="Z55" s="107"/>
      <c r="AA55" s="107"/>
      <c r="AB55" s="107"/>
    </row>
    <row r="56" spans="1:28" x14ac:dyDescent="0.25">
      <c r="B56" s="54"/>
      <c r="C56" s="54"/>
      <c r="D56" s="54"/>
      <c r="E56" s="54"/>
      <c r="F56" s="54"/>
      <c r="G56" s="54"/>
      <c r="H56" s="54"/>
      <c r="I56" s="54"/>
      <c r="L56" s="107"/>
      <c r="M56" s="107"/>
      <c r="N56" s="107"/>
      <c r="O56" s="107"/>
      <c r="P56" s="107"/>
      <c r="V56" s="107"/>
      <c r="W56" s="107"/>
      <c r="X56" s="107"/>
      <c r="Y56" s="107"/>
      <c r="Z56" s="107"/>
      <c r="AA56" s="107"/>
      <c r="AB56" s="107"/>
    </row>
    <row r="57" spans="1:28" x14ac:dyDescent="0.25">
      <c r="L57" s="107"/>
      <c r="M57" s="107"/>
      <c r="N57" s="107"/>
      <c r="O57" s="107"/>
      <c r="P57" s="107"/>
      <c r="V57" s="107"/>
      <c r="W57" s="107"/>
      <c r="X57" s="107"/>
      <c r="Y57" s="107"/>
      <c r="Z57" s="107"/>
      <c r="AA57" s="107"/>
      <c r="AB57" s="107"/>
    </row>
    <row r="58" spans="1:28" ht="15" customHeight="1" x14ac:dyDescent="0.25">
      <c r="A58" s="7" t="s">
        <v>204</v>
      </c>
      <c r="B58" s="54" t="s">
        <v>224</v>
      </c>
      <c r="C58" s="54"/>
      <c r="D58" s="54"/>
      <c r="E58" s="54"/>
      <c r="F58" s="54"/>
      <c r="G58" s="54"/>
      <c r="H58" s="54"/>
      <c r="I58" s="54"/>
      <c r="L58" s="107"/>
      <c r="M58" s="107"/>
      <c r="N58" s="107"/>
      <c r="O58" s="107"/>
      <c r="P58" s="107"/>
      <c r="V58" s="107"/>
      <c r="W58" s="107"/>
      <c r="X58" s="107"/>
      <c r="Y58" s="107"/>
      <c r="Z58" s="107"/>
      <c r="AA58" s="107"/>
      <c r="AB58" s="107"/>
    </row>
    <row r="59" spans="1:28" x14ac:dyDescent="0.25">
      <c r="B59" s="54"/>
      <c r="C59" s="54"/>
      <c r="D59" s="54"/>
      <c r="E59" s="54"/>
      <c r="F59" s="54"/>
      <c r="G59" s="54"/>
      <c r="H59" s="54"/>
      <c r="I59" s="54"/>
      <c r="L59" s="107"/>
      <c r="M59" s="107"/>
      <c r="N59" s="107"/>
      <c r="O59" s="107"/>
      <c r="P59" s="107"/>
      <c r="V59" s="107"/>
      <c r="W59" s="107"/>
      <c r="X59" s="107"/>
      <c r="Y59" s="107"/>
      <c r="Z59" s="107"/>
      <c r="AA59" s="107"/>
      <c r="AB59" s="107"/>
    </row>
    <row r="60" spans="1:28" x14ac:dyDescent="0.25">
      <c r="B60" s="54"/>
      <c r="C60" s="54"/>
      <c r="D60" s="54"/>
      <c r="E60" s="54"/>
      <c r="F60" s="54"/>
      <c r="G60" s="54"/>
      <c r="H60" s="54"/>
      <c r="I60" s="54"/>
      <c r="L60" s="107"/>
      <c r="M60" s="107"/>
      <c r="N60" s="107"/>
      <c r="O60" s="107"/>
      <c r="P60" s="107"/>
      <c r="V60" s="107"/>
      <c r="W60" s="107"/>
      <c r="X60" s="107"/>
      <c r="Y60" s="107"/>
      <c r="Z60" s="107"/>
      <c r="AA60" s="107"/>
      <c r="AB60" s="107"/>
    </row>
    <row r="61" spans="1:28" x14ac:dyDescent="0.25">
      <c r="B61" s="54"/>
      <c r="C61" s="54"/>
      <c r="D61" s="54"/>
      <c r="E61" s="54"/>
      <c r="F61" s="54"/>
      <c r="G61" s="54"/>
      <c r="H61" s="54"/>
      <c r="I61" s="54"/>
      <c r="L61" s="107"/>
      <c r="M61" s="107"/>
      <c r="N61" s="107"/>
      <c r="O61" s="107"/>
      <c r="P61" s="107"/>
      <c r="V61" s="107"/>
      <c r="W61" s="107"/>
      <c r="X61" s="107"/>
      <c r="Y61" s="107"/>
      <c r="Z61" s="107"/>
      <c r="AA61" s="107"/>
      <c r="AB61" s="107"/>
    </row>
    <row r="62" spans="1:28" x14ac:dyDescent="0.25">
      <c r="B62" s="54"/>
      <c r="C62" s="54"/>
      <c r="D62" s="54"/>
      <c r="E62" s="54"/>
      <c r="F62" s="54"/>
      <c r="G62" s="54"/>
      <c r="H62" s="54"/>
      <c r="I62" s="54"/>
      <c r="L62" s="107"/>
      <c r="M62" s="107"/>
      <c r="N62" s="107"/>
      <c r="O62" s="107"/>
      <c r="P62" s="107"/>
      <c r="V62" s="107"/>
      <c r="W62" s="107"/>
      <c r="X62" s="107"/>
      <c r="Y62" s="107"/>
      <c r="Z62" s="107"/>
      <c r="AA62" s="107"/>
      <c r="AB62" s="107"/>
    </row>
    <row r="63" spans="1:28" x14ac:dyDescent="0.25">
      <c r="B63" s="54"/>
      <c r="C63" s="54"/>
      <c r="D63" s="54"/>
      <c r="E63" s="54"/>
      <c r="F63" s="54"/>
      <c r="G63" s="54"/>
      <c r="H63" s="54"/>
      <c r="I63" s="54"/>
      <c r="L63" s="107"/>
      <c r="M63" s="107"/>
      <c r="N63" s="107"/>
      <c r="O63" s="107"/>
      <c r="P63" s="107"/>
      <c r="V63" s="107"/>
      <c r="W63" s="107"/>
      <c r="X63" s="107"/>
      <c r="Y63" s="107"/>
      <c r="Z63" s="107"/>
      <c r="AA63" s="107"/>
      <c r="AB63" s="107"/>
    </row>
    <row r="64" spans="1:28" x14ac:dyDescent="0.25">
      <c r="B64" s="54"/>
      <c r="C64" s="54"/>
      <c r="D64" s="54"/>
      <c r="E64" s="54"/>
      <c r="F64" s="54"/>
      <c r="G64" s="54"/>
      <c r="H64" s="54"/>
      <c r="I64" s="54"/>
      <c r="L64" s="107"/>
      <c r="M64" s="107"/>
      <c r="N64" s="107"/>
      <c r="O64" s="107"/>
      <c r="P64" s="107"/>
      <c r="V64" s="107"/>
      <c r="W64" s="107"/>
      <c r="X64" s="107"/>
      <c r="Y64" s="107"/>
      <c r="Z64" s="107"/>
      <c r="AA64" s="107"/>
      <c r="AB64" s="107"/>
    </row>
    <row r="65" spans="1:28" x14ac:dyDescent="0.25">
      <c r="L65" s="107"/>
      <c r="M65" s="107"/>
      <c r="N65" s="107"/>
      <c r="O65" s="107"/>
      <c r="P65" s="107"/>
      <c r="V65" s="107"/>
      <c r="W65" s="107"/>
      <c r="X65" s="107"/>
      <c r="Y65" s="107"/>
      <c r="Z65" s="107"/>
      <c r="AA65" s="107"/>
      <c r="AB65" s="107"/>
    </row>
    <row r="66" spans="1:28" ht="15" customHeight="1" x14ac:dyDescent="0.25">
      <c r="A66" s="7" t="s">
        <v>205</v>
      </c>
      <c r="B66" s="54" t="e">
        <f>CONCATENATE(41,CHAR(10),"  -",I42,CHAR(10),"  -",I43,CHAR(10),"  -",I44)</f>
        <v>#VALUE!</v>
      </c>
      <c r="C66" s="54"/>
      <c r="D66" s="54"/>
      <c r="E66" s="54"/>
      <c r="F66" s="54"/>
      <c r="G66" s="54"/>
      <c r="H66" s="54"/>
      <c r="I66" s="54"/>
      <c r="L66" s="107"/>
      <c r="M66" s="107"/>
      <c r="N66" s="107"/>
      <c r="O66" s="107"/>
      <c r="P66" s="107"/>
      <c r="V66" s="107"/>
      <c r="W66" s="107"/>
      <c r="X66" s="107"/>
      <c r="Y66" s="107"/>
      <c r="Z66" s="107"/>
      <c r="AA66" s="107"/>
      <c r="AB66" s="107"/>
    </row>
    <row r="67" spans="1:28" x14ac:dyDescent="0.25">
      <c r="B67" s="54"/>
      <c r="C67" s="54"/>
      <c r="D67" s="54"/>
      <c r="E67" s="54"/>
      <c r="F67" s="54"/>
      <c r="G67" s="54"/>
      <c r="H67" s="54"/>
      <c r="I67" s="54"/>
      <c r="L67" s="107"/>
      <c r="M67" s="107"/>
      <c r="N67" s="107"/>
      <c r="O67" s="107"/>
      <c r="P67" s="107"/>
      <c r="V67" s="107"/>
      <c r="W67" s="107"/>
      <c r="X67" s="107"/>
      <c r="Y67" s="107"/>
      <c r="Z67" s="107"/>
      <c r="AA67" s="107"/>
      <c r="AB67" s="107"/>
    </row>
    <row r="68" spans="1:28" x14ac:dyDescent="0.25">
      <c r="B68" s="54"/>
      <c r="C68" s="54"/>
      <c r="D68" s="54"/>
      <c r="E68" s="54"/>
      <c r="F68" s="54"/>
      <c r="G68" s="54"/>
      <c r="H68" s="54"/>
      <c r="I68" s="54"/>
      <c r="L68" s="107"/>
      <c r="M68" s="107"/>
      <c r="N68" s="107"/>
      <c r="O68" s="107"/>
      <c r="P68" s="107"/>
      <c r="V68" s="107"/>
      <c r="W68" s="107"/>
      <c r="X68" s="107"/>
      <c r="Y68" s="107"/>
      <c r="Z68" s="107"/>
      <c r="AA68" s="107"/>
      <c r="AB68" s="107"/>
    </row>
    <row r="69" spans="1:28" x14ac:dyDescent="0.25">
      <c r="B69" s="54"/>
      <c r="C69" s="54"/>
      <c r="D69" s="54"/>
      <c r="E69" s="54"/>
      <c r="F69" s="54"/>
      <c r="G69" s="54"/>
      <c r="H69" s="54"/>
      <c r="I69" s="54"/>
      <c r="L69" s="107"/>
      <c r="M69" s="107"/>
      <c r="N69" s="107"/>
      <c r="O69" s="107"/>
      <c r="P69" s="107"/>
      <c r="V69" s="107"/>
      <c r="W69" s="107"/>
      <c r="X69" s="107"/>
      <c r="Y69" s="107"/>
      <c r="Z69" s="107"/>
      <c r="AA69" s="107"/>
      <c r="AB69" s="107"/>
    </row>
    <row r="70" spans="1:28" x14ac:dyDescent="0.25">
      <c r="B70" s="54"/>
      <c r="C70" s="54"/>
      <c r="D70" s="54"/>
      <c r="E70" s="54"/>
      <c r="F70" s="54"/>
      <c r="G70" s="54"/>
      <c r="H70" s="54"/>
      <c r="I70" s="54"/>
      <c r="L70" s="107"/>
      <c r="M70" s="107"/>
      <c r="N70" s="107"/>
      <c r="O70" s="107"/>
      <c r="P70" s="107"/>
      <c r="V70" s="107"/>
      <c r="W70" s="107"/>
      <c r="X70" s="107"/>
      <c r="Y70" s="107"/>
      <c r="Z70" s="107"/>
      <c r="AA70" s="107"/>
      <c r="AB70" s="107"/>
    </row>
    <row r="71" spans="1:28" x14ac:dyDescent="0.25">
      <c r="L71" s="107"/>
      <c r="M71" s="107"/>
      <c r="N71" s="107"/>
      <c r="O71" s="107"/>
      <c r="P71" s="107"/>
      <c r="V71" s="107"/>
      <c r="W71" s="107"/>
      <c r="X71" s="107"/>
      <c r="Y71" s="107"/>
      <c r="Z71" s="107"/>
      <c r="AA71" s="107"/>
      <c r="AB71" s="107"/>
    </row>
    <row r="72" spans="1:28" x14ac:dyDescent="0.25">
      <c r="A72" s="7" t="s">
        <v>206</v>
      </c>
      <c r="B72" s="19" t="e">
        <f>I45</f>
        <v>#VALUE!</v>
      </c>
      <c r="C72" s="19"/>
      <c r="D72" s="19"/>
      <c r="E72" s="19"/>
      <c r="F72" s="19"/>
      <c r="G72" s="19"/>
      <c r="H72" s="19"/>
      <c r="I72" s="19"/>
      <c r="L72" s="107"/>
      <c r="M72" s="107"/>
      <c r="N72" s="107"/>
      <c r="O72" s="107"/>
      <c r="P72" s="107"/>
      <c r="V72" s="107"/>
      <c r="W72" s="107"/>
      <c r="X72" s="107"/>
      <c r="Y72" s="107"/>
      <c r="Z72" s="107"/>
      <c r="AA72" s="107"/>
      <c r="AB72" s="107"/>
    </row>
    <row r="73" spans="1:28" x14ac:dyDescent="0.25">
      <c r="L73" s="107"/>
      <c r="M73" s="107"/>
      <c r="N73" s="107"/>
      <c r="O73" s="107"/>
      <c r="P73" s="107"/>
      <c r="V73" s="107"/>
      <c r="W73" s="107"/>
      <c r="X73" s="107"/>
      <c r="Y73" s="107"/>
      <c r="Z73" s="107"/>
      <c r="AA73" s="107"/>
      <c r="AB73" s="107"/>
    </row>
    <row r="74" spans="1:28" x14ac:dyDescent="0.25">
      <c r="A74" s="7" t="s">
        <v>207</v>
      </c>
      <c r="B74" s="54" t="e">
        <f>CONCATENATE(I46,CHAR(10),"  -",I47,CHAR(10),"  -",I48,CHAR(10),"  -",I49)</f>
        <v>#VALUE!</v>
      </c>
      <c r="C74" s="54"/>
      <c r="D74" s="54"/>
      <c r="E74" s="54"/>
      <c r="F74" s="54"/>
      <c r="G74" s="54"/>
      <c r="H74" s="54"/>
      <c r="I74" s="54"/>
      <c r="L74" s="107"/>
      <c r="M74" s="107"/>
      <c r="N74" s="107"/>
      <c r="O74" s="107"/>
      <c r="P74" s="107"/>
      <c r="V74" s="107"/>
      <c r="W74" s="107"/>
      <c r="X74" s="107"/>
      <c r="Y74" s="107"/>
      <c r="Z74" s="107"/>
      <c r="AA74" s="107"/>
      <c r="AB74" s="107"/>
    </row>
    <row r="75" spans="1:28" x14ac:dyDescent="0.25">
      <c r="B75" s="54"/>
      <c r="C75" s="54"/>
      <c r="D75" s="54"/>
      <c r="E75" s="54"/>
      <c r="F75" s="54"/>
      <c r="G75" s="54"/>
      <c r="H75" s="54"/>
      <c r="I75" s="54"/>
      <c r="L75" s="107"/>
      <c r="M75" s="107"/>
      <c r="N75" s="107"/>
      <c r="O75" s="107"/>
      <c r="P75" s="107"/>
      <c r="V75" s="107"/>
      <c r="W75" s="107"/>
      <c r="X75" s="107"/>
      <c r="Y75" s="107"/>
      <c r="Z75" s="107"/>
      <c r="AA75" s="107"/>
      <c r="AB75" s="107"/>
    </row>
    <row r="76" spans="1:28" x14ac:dyDescent="0.25">
      <c r="B76" s="54"/>
      <c r="C76" s="54"/>
      <c r="D76" s="54"/>
      <c r="E76" s="54"/>
      <c r="F76" s="54"/>
      <c r="G76" s="54"/>
      <c r="H76" s="54"/>
      <c r="I76" s="54"/>
      <c r="L76" s="107"/>
      <c r="M76" s="107"/>
      <c r="N76" s="107"/>
      <c r="O76" s="107"/>
      <c r="P76" s="107"/>
      <c r="V76" s="107"/>
      <c r="W76" s="107"/>
      <c r="X76" s="107"/>
      <c r="Y76" s="107"/>
      <c r="Z76" s="107"/>
      <c r="AA76" s="107"/>
      <c r="AB76" s="107"/>
    </row>
    <row r="77" spans="1:28" x14ac:dyDescent="0.25">
      <c r="B77" s="54"/>
      <c r="C77" s="54"/>
      <c r="D77" s="54"/>
      <c r="E77" s="54"/>
      <c r="F77" s="54"/>
      <c r="G77" s="54"/>
      <c r="H77" s="54"/>
      <c r="I77" s="54"/>
      <c r="L77" s="107"/>
      <c r="M77" s="107"/>
      <c r="N77" s="107"/>
      <c r="O77" s="107"/>
      <c r="P77" s="107"/>
      <c r="V77" s="107"/>
      <c r="W77" s="107"/>
      <c r="X77" s="107"/>
      <c r="Y77" s="107"/>
      <c r="Z77" s="107"/>
      <c r="AA77" s="107"/>
      <c r="AB77" s="107"/>
    </row>
    <row r="78" spans="1:28" x14ac:dyDescent="0.25">
      <c r="B78" s="54"/>
      <c r="C78" s="54"/>
      <c r="D78" s="54"/>
      <c r="E78" s="54"/>
      <c r="F78" s="54"/>
      <c r="G78" s="54"/>
      <c r="H78" s="54"/>
      <c r="I78" s="54"/>
      <c r="L78" s="107"/>
      <c r="M78" s="107"/>
      <c r="N78" s="107"/>
      <c r="O78" s="107"/>
      <c r="P78" s="107"/>
      <c r="V78" s="107"/>
      <c r="W78" s="107"/>
      <c r="X78" s="107"/>
      <c r="Y78" s="107"/>
      <c r="Z78" s="107"/>
      <c r="AA78" s="107"/>
      <c r="AB78" s="107"/>
    </row>
    <row r="79" spans="1:28" x14ac:dyDescent="0.25">
      <c r="L79" s="107"/>
      <c r="M79" s="107"/>
      <c r="N79" s="107"/>
      <c r="O79" s="107"/>
      <c r="P79" s="107"/>
      <c r="V79" s="107"/>
      <c r="W79" s="107"/>
      <c r="X79" s="107"/>
      <c r="Y79" s="107"/>
      <c r="Z79" s="107"/>
      <c r="AA79" s="107"/>
      <c r="AB79" s="107"/>
    </row>
    <row r="80" spans="1:28" x14ac:dyDescent="0.25">
      <c r="L80" s="107"/>
      <c r="M80" s="107"/>
      <c r="N80" s="107"/>
      <c r="O80" s="107"/>
      <c r="P80" s="107"/>
      <c r="V80" s="107"/>
      <c r="W80" s="107"/>
      <c r="X80" s="107"/>
      <c r="Y80" s="107"/>
      <c r="Z80" s="107"/>
      <c r="AA80" s="107"/>
      <c r="AB80" s="107"/>
    </row>
    <row r="81" spans="12:28" x14ac:dyDescent="0.25">
      <c r="L81" s="107"/>
      <c r="M81" s="107"/>
      <c r="N81" s="107"/>
      <c r="O81" s="107"/>
      <c r="P81" s="107"/>
      <c r="V81" s="107"/>
      <c r="W81" s="107"/>
      <c r="X81" s="107"/>
      <c r="Y81" s="107"/>
      <c r="Z81" s="107"/>
      <c r="AA81" s="107"/>
      <c r="AB81" s="107"/>
    </row>
    <row r="82" spans="12:28" x14ac:dyDescent="0.25">
      <c r="L82" s="107"/>
      <c r="M82" s="107"/>
      <c r="N82" s="107"/>
      <c r="O82" s="107"/>
      <c r="P82" s="107"/>
      <c r="V82" s="107"/>
      <c r="W82" s="107"/>
      <c r="X82" s="107"/>
      <c r="Y82" s="107"/>
      <c r="Z82" s="107"/>
      <c r="AA82" s="107"/>
      <c r="AB82" s="107"/>
    </row>
    <row r="83" spans="12:28" x14ac:dyDescent="0.25">
      <c r="L83" s="107"/>
      <c r="M83" s="107"/>
      <c r="N83" s="107"/>
      <c r="O83" s="107"/>
      <c r="P83" s="107"/>
      <c r="V83" s="107"/>
      <c r="W83" s="107"/>
      <c r="X83" s="107"/>
      <c r="Y83" s="107"/>
      <c r="Z83" s="107"/>
      <c r="AA83" s="107"/>
      <c r="AB83" s="107"/>
    </row>
    <row r="84" spans="12:28" x14ac:dyDescent="0.25">
      <c r="L84" s="107"/>
      <c r="M84" s="107"/>
      <c r="N84" s="107"/>
      <c r="O84" s="107"/>
      <c r="P84" s="107"/>
      <c r="V84" s="107"/>
      <c r="W84" s="107"/>
      <c r="X84" s="107"/>
      <c r="Y84" s="107"/>
      <c r="Z84" s="107"/>
      <c r="AA84" s="107"/>
      <c r="AB84" s="107"/>
    </row>
    <row r="85" spans="12:28" x14ac:dyDescent="0.25">
      <c r="L85" s="107"/>
      <c r="M85" s="107"/>
      <c r="N85" s="107"/>
      <c r="O85" s="107"/>
      <c r="P85" s="107"/>
      <c r="V85" s="107"/>
      <c r="W85" s="107"/>
      <c r="X85" s="107"/>
      <c r="Y85" s="107"/>
      <c r="Z85" s="107"/>
      <c r="AA85" s="107"/>
      <c r="AB85" s="107"/>
    </row>
    <row r="86" spans="12:28" x14ac:dyDescent="0.25">
      <c r="L86" s="107"/>
      <c r="M86" s="107"/>
      <c r="N86" s="107"/>
      <c r="O86" s="107"/>
      <c r="P86" s="107"/>
      <c r="V86" s="107"/>
      <c r="W86" s="107"/>
      <c r="X86" s="107"/>
      <c r="Y86" s="107"/>
      <c r="Z86" s="107"/>
      <c r="AA86" s="107"/>
      <c r="AB86" s="107"/>
    </row>
    <row r="87" spans="12:28" x14ac:dyDescent="0.25">
      <c r="L87" s="107"/>
      <c r="M87" s="107"/>
      <c r="N87" s="107"/>
      <c r="O87" s="107"/>
      <c r="P87" s="107"/>
      <c r="V87" s="107"/>
      <c r="W87" s="107"/>
      <c r="X87" s="107"/>
      <c r="Y87" s="107"/>
      <c r="Z87" s="107"/>
      <c r="AA87" s="107"/>
      <c r="AB87" s="107"/>
    </row>
    <row r="104" spans="1:15" x14ac:dyDescent="0.25">
      <c r="B104" t="s">
        <v>144</v>
      </c>
      <c r="E104" s="19" t="s">
        <v>121</v>
      </c>
      <c r="F104" s="19"/>
      <c r="K104" t="s">
        <v>147</v>
      </c>
    </row>
    <row r="105" spans="1:15" x14ac:dyDescent="0.25">
      <c r="B105" t="s">
        <v>122</v>
      </c>
      <c r="E105" s="14">
        <v>250</v>
      </c>
      <c r="F105">
        <v>0.5</v>
      </c>
      <c r="K105" t="s">
        <v>50</v>
      </c>
      <c r="L105" t="s">
        <v>54</v>
      </c>
    </row>
    <row r="106" spans="1:15" x14ac:dyDescent="0.25">
      <c r="E106" s="12">
        <v>300</v>
      </c>
      <c r="F106">
        <v>0.5</v>
      </c>
      <c r="K106" t="s">
        <v>145</v>
      </c>
    </row>
    <row r="107" spans="1:15" x14ac:dyDescent="0.25">
      <c r="A107" s="7"/>
      <c r="E107" s="12">
        <v>350</v>
      </c>
      <c r="F107">
        <v>0.5</v>
      </c>
      <c r="K107" t="s">
        <v>53</v>
      </c>
      <c r="L107" t="s">
        <v>57</v>
      </c>
    </row>
    <row r="108" spans="1:15" x14ac:dyDescent="0.25">
      <c r="A108" s="7"/>
      <c r="E108" s="12">
        <v>400</v>
      </c>
      <c r="F108">
        <v>0.5</v>
      </c>
    </row>
    <row r="109" spans="1:15" x14ac:dyDescent="0.25">
      <c r="A109" s="7"/>
      <c r="E109" s="12">
        <v>450</v>
      </c>
      <c r="F109">
        <v>0.5</v>
      </c>
    </row>
    <row r="110" spans="1:15" x14ac:dyDescent="0.25">
      <c r="A110" s="7" t="s">
        <v>36</v>
      </c>
      <c r="E110" s="12">
        <v>500</v>
      </c>
      <c r="F110">
        <v>0.5</v>
      </c>
    </row>
    <row r="111" spans="1:15" x14ac:dyDescent="0.25">
      <c r="A111" s="7" t="s">
        <v>37</v>
      </c>
      <c r="E111" s="12">
        <v>550</v>
      </c>
      <c r="F111">
        <v>0.5</v>
      </c>
      <c r="J111" t="s">
        <v>146</v>
      </c>
      <c r="K111" t="s">
        <v>146</v>
      </c>
      <c r="N111" t="s">
        <v>34</v>
      </c>
      <c r="O111" t="s">
        <v>35</v>
      </c>
    </row>
    <row r="112" spans="1:15" x14ac:dyDescent="0.25">
      <c r="A112" s="7" t="s">
        <v>38</v>
      </c>
      <c r="B112">
        <v>0.3</v>
      </c>
      <c r="E112" s="12">
        <v>600</v>
      </c>
      <c r="F112">
        <v>0.5</v>
      </c>
      <c r="J112" t="s">
        <v>151</v>
      </c>
      <c r="K112" t="s">
        <v>148</v>
      </c>
      <c r="M112" s="7" t="s">
        <v>155</v>
      </c>
      <c r="N112">
        <v>4</v>
      </c>
      <c r="O112">
        <v>1</v>
      </c>
    </row>
    <row r="113" spans="1:15" x14ac:dyDescent="0.25">
      <c r="A113" s="7" t="s">
        <v>39</v>
      </c>
      <c r="B113" t="s">
        <v>145</v>
      </c>
      <c r="E113" s="12">
        <v>650</v>
      </c>
      <c r="F113">
        <v>0.5</v>
      </c>
      <c r="J113" t="s">
        <v>152</v>
      </c>
      <c r="K113" t="s">
        <v>149</v>
      </c>
      <c r="M113" s="7" t="s">
        <v>156</v>
      </c>
      <c r="N113">
        <v>20</v>
      </c>
      <c r="O113">
        <v>0.25</v>
      </c>
    </row>
    <row r="114" spans="1:15" x14ac:dyDescent="0.25">
      <c r="A114" s="7" t="s">
        <v>40</v>
      </c>
      <c r="E114" s="12">
        <v>700</v>
      </c>
      <c r="F114">
        <v>0.5</v>
      </c>
      <c r="K114" t="s">
        <v>150</v>
      </c>
      <c r="M114" s="7" t="s">
        <v>157</v>
      </c>
      <c r="N114">
        <v>4</v>
      </c>
      <c r="O114">
        <v>1</v>
      </c>
    </row>
    <row r="115" spans="1:15" x14ac:dyDescent="0.25">
      <c r="A115" s="7" t="s">
        <v>41</v>
      </c>
      <c r="E115" s="12">
        <v>750</v>
      </c>
      <c r="F115">
        <v>0.5</v>
      </c>
      <c r="M115" s="7" t="s">
        <v>158</v>
      </c>
      <c r="N115">
        <v>17.5</v>
      </c>
      <c r="O115">
        <v>4</v>
      </c>
    </row>
    <row r="116" spans="1:15" x14ac:dyDescent="0.25">
      <c r="A116" s="7" t="s">
        <v>42</v>
      </c>
      <c r="B116">
        <v>0.5</v>
      </c>
      <c r="E116" s="12">
        <v>800</v>
      </c>
      <c r="F116">
        <v>0.5</v>
      </c>
      <c r="M116" s="7" t="s">
        <v>159</v>
      </c>
      <c r="N116">
        <v>70</v>
      </c>
      <c r="O116">
        <v>1</v>
      </c>
    </row>
    <row r="117" spans="1:15" x14ac:dyDescent="0.25">
      <c r="E117" s="12">
        <v>850</v>
      </c>
      <c r="F117">
        <v>0.5</v>
      </c>
      <c r="M117" s="7" t="s">
        <v>160</v>
      </c>
      <c r="N117" t="s">
        <v>153</v>
      </c>
      <c r="O117" t="s">
        <v>153</v>
      </c>
    </row>
    <row r="118" spans="1:15" x14ac:dyDescent="0.25">
      <c r="E118" s="12">
        <v>900</v>
      </c>
      <c r="F118">
        <v>0.5</v>
      </c>
    </row>
    <row r="119" spans="1:15" x14ac:dyDescent="0.25">
      <c r="A119" s="7" t="s">
        <v>76</v>
      </c>
      <c r="B119" t="s">
        <v>162</v>
      </c>
      <c r="E119" s="12">
        <v>950</v>
      </c>
      <c r="F119">
        <v>0.5</v>
      </c>
    </row>
    <row r="120" spans="1:15" x14ac:dyDescent="0.25">
      <c r="A120">
        <v>12</v>
      </c>
      <c r="B120">
        <v>0</v>
      </c>
      <c r="C120">
        <v>7</v>
      </c>
      <c r="D120" t="s">
        <v>46</v>
      </c>
      <c r="E120" s="12">
        <v>1000</v>
      </c>
      <c r="F120">
        <v>0.5</v>
      </c>
    </row>
    <row r="121" spans="1:15" x14ac:dyDescent="0.25">
      <c r="A121">
        <v>18</v>
      </c>
      <c r="B121">
        <v>7.01</v>
      </c>
      <c r="C121">
        <v>16</v>
      </c>
      <c r="D121" t="s">
        <v>46</v>
      </c>
    </row>
    <row r="122" spans="1:15" x14ac:dyDescent="0.25">
      <c r="A122">
        <v>24</v>
      </c>
      <c r="B122">
        <v>16.010000000000002</v>
      </c>
      <c r="C122">
        <v>33</v>
      </c>
      <c r="D122" t="s">
        <v>46</v>
      </c>
    </row>
    <row r="123" spans="1:15" x14ac:dyDescent="0.25">
      <c r="A123">
        <v>36</v>
      </c>
      <c r="B123">
        <v>33.01</v>
      </c>
      <c r="C123">
        <v>44</v>
      </c>
      <c r="D123" t="s">
        <v>46</v>
      </c>
    </row>
    <row r="124" spans="1:15" x14ac:dyDescent="0.25">
      <c r="A124">
        <v>48</v>
      </c>
      <c r="B124">
        <v>44.01</v>
      </c>
      <c r="C124">
        <v>100</v>
      </c>
      <c r="D124" t="s">
        <v>46</v>
      </c>
    </row>
  </sheetData>
  <sheetProtection selectLockedCells="1"/>
  <sortState xmlns:xlrd2="http://schemas.microsoft.com/office/spreadsheetml/2017/richdata2" ref="E14:E82">
    <sortCondition ref="E13:E82"/>
  </sortState>
  <mergeCells count="3">
    <mergeCell ref="L53:P87"/>
    <mergeCell ref="V53:AB87"/>
    <mergeCell ref="F5:H5"/>
  </mergeCells>
  <dataValidations count="5">
    <dataValidation type="list" allowBlank="1" showInputMessage="1" showErrorMessage="1" sqref="B18 B110" xr:uid="{B92CDD5B-F104-45F5-A4BE-0074605A4F5C}">
      <formula1>$I$6:$I$10</formula1>
    </dataValidation>
    <dataValidation type="list" allowBlank="1" showInputMessage="1" showErrorMessage="1" sqref="B19 B111" xr:uid="{AAF260C3-9F78-46A9-881F-AF2872DE3F6D}">
      <formula1>$J$6:$J$10</formula1>
    </dataValidation>
    <dataValidation type="list" allowBlank="1" showInputMessage="1" showErrorMessage="1" sqref="B21" xr:uid="{4366901B-5535-44E7-BE67-3BAF8F4F5C28}">
      <formula1>$K$14:$K$16</formula1>
    </dataValidation>
    <dataValidation type="list" allowBlank="1" showInputMessage="1" showErrorMessage="1" sqref="B113" xr:uid="{A8038CE4-898C-4CBF-8FB3-0F5841B280C3}">
      <formula1>$K$106:$K$107</formula1>
    </dataValidation>
    <dataValidation type="list" allowBlank="1" showInputMessage="1" showErrorMessage="1" sqref="J15:J20" xr:uid="{76A1D51B-B213-4BAC-A774-D469A7EBE4AE}">
      <formula1>$U$1:$U$2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0]!UpdateDefaults.UpdateDefaults">
                <anchor moveWithCells="1" sizeWithCells="1">
                  <from>
                    <xdr:col>0</xdr:col>
                    <xdr:colOff>133350</xdr:colOff>
                    <xdr:row>2</xdr:row>
                    <xdr:rowOff>114300</xdr:rowOff>
                  </from>
                  <to>
                    <xdr:col>0</xdr:col>
                    <xdr:colOff>2933700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FDA8-9B84-4782-9FE0-59084AFDEFC7}">
  <sheetPr codeName="Sheet5"/>
  <dimension ref="A1:AE48"/>
  <sheetViews>
    <sheetView workbookViewId="0">
      <selection activeCell="L11" sqref="L11:R12"/>
    </sheetView>
  </sheetViews>
  <sheetFormatPr defaultRowHeight="15" x14ac:dyDescent="0.25"/>
  <sheetData>
    <row r="1" spans="1:3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6"/>
      <c r="M4" s="26"/>
      <c r="N4" s="26"/>
      <c r="O4" s="26"/>
      <c r="P4" s="26"/>
      <c r="Q4" s="26"/>
      <c r="R4" s="21"/>
      <c r="S4" s="21"/>
      <c r="T4" s="21"/>
      <c r="U4" s="21"/>
      <c r="V4" s="21"/>
      <c r="W4" s="21"/>
      <c r="X4" s="21"/>
      <c r="Y4" s="1"/>
      <c r="Z4" s="1"/>
      <c r="AA4" s="1"/>
      <c r="AB4" s="1"/>
      <c r="AC4" s="1"/>
      <c r="AD4" s="1"/>
      <c r="AE4" s="1"/>
    </row>
    <row r="5" spans="1:3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"/>
      <c r="M5" s="26"/>
      <c r="N5" s="26"/>
      <c r="O5" s="26"/>
      <c r="P5" s="26"/>
      <c r="Q5" s="26"/>
      <c r="R5" s="85" t="s">
        <v>169</v>
      </c>
      <c r="S5" s="85"/>
      <c r="T5" s="85"/>
      <c r="U5" s="85"/>
      <c r="V5" s="85"/>
      <c r="W5" s="85"/>
      <c r="X5" s="85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5"/>
      <c r="S6" s="85"/>
      <c r="T6" s="85"/>
      <c r="U6" s="85"/>
      <c r="V6" s="85"/>
      <c r="W6" s="85"/>
      <c r="X6" s="85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6" t="s">
        <v>225</v>
      </c>
      <c r="M8" s="66"/>
      <c r="N8" s="66"/>
      <c r="O8" s="66"/>
      <c r="P8" s="66"/>
      <c r="Q8" s="66"/>
      <c r="R8" s="66"/>
      <c r="S8" s="2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6"/>
      <c r="M9" s="66"/>
      <c r="N9" s="66"/>
      <c r="O9" s="66"/>
      <c r="P9" s="66"/>
      <c r="Q9" s="66"/>
      <c r="R9" s="66"/>
      <c r="S9" s="2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25">
      <c r="A11" s="1"/>
      <c r="B11" s="1"/>
      <c r="C11" s="1"/>
      <c r="D11" s="1"/>
      <c r="E11" s="1"/>
      <c r="F11" s="110" t="s">
        <v>128</v>
      </c>
      <c r="G11" s="110"/>
      <c r="H11" s="110"/>
      <c r="I11" s="110"/>
      <c r="J11" s="1"/>
      <c r="K11" s="1"/>
      <c r="L11" s="110" t="s">
        <v>129</v>
      </c>
      <c r="M11" s="110"/>
      <c r="N11" s="110"/>
      <c r="O11" s="110"/>
      <c r="P11" s="110"/>
      <c r="Q11" s="110"/>
      <c r="R11" s="1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 x14ac:dyDescent="0.25">
      <c r="A12" s="1"/>
      <c r="B12" s="1"/>
      <c r="C12" s="1"/>
      <c r="D12" s="1"/>
      <c r="E12" s="1"/>
      <c r="F12" s="110"/>
      <c r="G12" s="110"/>
      <c r="H12" s="110"/>
      <c r="I12" s="110"/>
      <c r="J12" s="1"/>
      <c r="K12" s="1"/>
      <c r="L12" s="110"/>
      <c r="M12" s="110"/>
      <c r="N12" s="110"/>
      <c r="O12" s="110"/>
      <c r="P12" s="110"/>
      <c r="Q12" s="110"/>
      <c r="R12" s="11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9" t="s">
        <v>130</v>
      </c>
      <c r="M13" s="109"/>
      <c r="N13" s="109"/>
      <c r="O13" s="109"/>
      <c r="P13" s="109"/>
      <c r="Q13" s="109"/>
      <c r="R13" s="10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9" t="s">
        <v>131</v>
      </c>
      <c r="M14" s="109"/>
      <c r="N14" s="109"/>
      <c r="O14" s="109"/>
      <c r="P14" s="109"/>
      <c r="Q14" s="109"/>
      <c r="R14" s="10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9" t="s">
        <v>132</v>
      </c>
      <c r="M15" s="109"/>
      <c r="N15" s="109"/>
      <c r="O15" s="109"/>
      <c r="P15" s="109"/>
      <c r="Q15" s="109"/>
      <c r="R15" s="10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10" t="s">
        <v>133</v>
      </c>
      <c r="G19" s="110"/>
      <c r="H19" s="110"/>
      <c r="I19" s="110"/>
      <c r="J19" s="1"/>
      <c r="K19" s="1"/>
      <c r="L19" s="110" t="s">
        <v>226</v>
      </c>
      <c r="M19" s="110"/>
      <c r="N19" s="110"/>
      <c r="O19" s="110"/>
      <c r="P19" s="110"/>
      <c r="Q19" s="110"/>
      <c r="R19" s="11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10"/>
      <c r="G20" s="110"/>
      <c r="H20" s="110"/>
      <c r="I20" s="110"/>
      <c r="J20" s="1"/>
      <c r="K20" s="1"/>
      <c r="L20" s="110"/>
      <c r="M20" s="110"/>
      <c r="N20" s="110"/>
      <c r="O20" s="110"/>
      <c r="P20" s="110"/>
      <c r="Q20" s="110"/>
      <c r="R20" s="11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9" t="s">
        <v>134</v>
      </c>
      <c r="M21" s="109"/>
      <c r="N21" s="109"/>
      <c r="O21" s="109"/>
      <c r="P21" s="109"/>
      <c r="Q21" s="109"/>
      <c r="R21" s="10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9" t="s">
        <v>241</v>
      </c>
      <c r="M22" s="109"/>
      <c r="N22" s="109"/>
      <c r="O22" s="109"/>
      <c r="P22" s="109"/>
      <c r="Q22" s="109"/>
      <c r="R22" s="10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09" t="s">
        <v>135</v>
      </c>
      <c r="M23" s="109"/>
      <c r="N23" s="109"/>
      <c r="O23" s="109"/>
      <c r="P23" s="109"/>
      <c r="Q23" s="109"/>
      <c r="R23" s="10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09" t="s">
        <v>136</v>
      </c>
      <c r="M24" s="109"/>
      <c r="N24" s="109"/>
      <c r="O24" s="109"/>
      <c r="P24" s="109"/>
      <c r="Q24" s="109"/>
      <c r="R24" s="10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09"/>
      <c r="M25" s="109"/>
      <c r="N25" s="109"/>
      <c r="O25" s="109"/>
      <c r="P25" s="109"/>
      <c r="Q25" s="109"/>
      <c r="R25" s="10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10" t="s">
        <v>227</v>
      </c>
      <c r="M27" s="110"/>
      <c r="N27" s="110"/>
      <c r="O27" s="110"/>
      <c r="P27" s="110"/>
      <c r="Q27" s="110"/>
      <c r="R27" s="11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10"/>
      <c r="M28" s="110"/>
      <c r="N28" s="110"/>
      <c r="O28" s="110"/>
      <c r="P28" s="110"/>
      <c r="Q28" s="110"/>
      <c r="R28" s="11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09" t="s">
        <v>134</v>
      </c>
      <c r="M29" s="109"/>
      <c r="N29" s="109"/>
      <c r="O29" s="109"/>
      <c r="P29" s="109"/>
      <c r="Q29" s="109"/>
      <c r="R29" s="10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09" t="s">
        <v>138</v>
      </c>
      <c r="M30" s="109"/>
      <c r="N30" s="109"/>
      <c r="O30" s="109"/>
      <c r="P30" s="109"/>
      <c r="Q30" s="109"/>
      <c r="R30" s="10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9" t="s">
        <v>137</v>
      </c>
      <c r="M31" s="109"/>
      <c r="N31" s="109"/>
      <c r="O31" s="109"/>
      <c r="P31" s="109"/>
      <c r="Q31" s="109"/>
      <c r="R31" s="10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10" t="s">
        <v>139</v>
      </c>
      <c r="G35" s="110"/>
      <c r="H35" s="110"/>
      <c r="I35" s="1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x14ac:dyDescent="0.25">
      <c r="A36" s="1"/>
      <c r="B36" s="1"/>
      <c r="C36" s="1"/>
      <c r="D36" s="1"/>
      <c r="E36" s="1"/>
      <c r="F36" s="110"/>
      <c r="G36" s="110"/>
      <c r="H36" s="110"/>
      <c r="I36" s="110"/>
      <c r="J36" s="1"/>
      <c r="K36" s="1"/>
      <c r="L36" s="28" t="s">
        <v>141</v>
      </c>
      <c r="M36" s="28"/>
      <c r="N36" s="28"/>
      <c r="O36" s="28"/>
      <c r="P36" s="28"/>
      <c r="Q36" s="28"/>
      <c r="R36" s="2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6" t="s">
        <v>140</v>
      </c>
      <c r="M37" s="86"/>
      <c r="N37" s="86"/>
      <c r="O37" s="86"/>
      <c r="P37" s="86"/>
      <c r="Q37" s="86"/>
      <c r="R37" s="8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6" t="s">
        <v>170</v>
      </c>
      <c r="M38" s="86"/>
      <c r="N38" s="86"/>
      <c r="O38" s="86"/>
      <c r="P38" s="86"/>
      <c r="Q38" s="86"/>
      <c r="R38" s="8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6" t="s">
        <v>197</v>
      </c>
      <c r="M39" s="86"/>
      <c r="N39" s="86"/>
      <c r="O39" s="86"/>
      <c r="P39" s="86"/>
      <c r="Q39" s="86"/>
      <c r="R39" s="8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09"/>
      <c r="M40" s="109"/>
      <c r="N40" s="109"/>
      <c r="O40" s="109"/>
      <c r="P40" s="109"/>
      <c r="Q40" s="109"/>
      <c r="R40" s="10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09"/>
      <c r="M41" s="109"/>
      <c r="N41" s="109"/>
      <c r="O41" s="109"/>
      <c r="P41" s="109"/>
      <c r="Q41" s="109"/>
      <c r="R41" s="10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09"/>
      <c r="M42" s="109"/>
      <c r="N42" s="109"/>
      <c r="O42" s="109"/>
      <c r="P42" s="109"/>
      <c r="Q42" s="109"/>
      <c r="R42" s="10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09"/>
      <c r="M43" s="109"/>
      <c r="N43" s="109"/>
      <c r="O43" s="109"/>
      <c r="P43" s="109"/>
      <c r="Q43" s="109"/>
      <c r="R43" s="10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09"/>
      <c r="M44" s="109"/>
      <c r="N44" s="109"/>
      <c r="O44" s="109"/>
      <c r="P44" s="109"/>
      <c r="Q44" s="109"/>
      <c r="R44" s="10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27">
    <mergeCell ref="F11:I12"/>
    <mergeCell ref="L11:R12"/>
    <mergeCell ref="L13:R13"/>
    <mergeCell ref="L8:R9"/>
    <mergeCell ref="R5:X6"/>
    <mergeCell ref="L14:R14"/>
    <mergeCell ref="L15:R15"/>
    <mergeCell ref="F19:I20"/>
    <mergeCell ref="L19:R20"/>
    <mergeCell ref="L27:R28"/>
    <mergeCell ref="L21:R21"/>
    <mergeCell ref="L22:R22"/>
    <mergeCell ref="L23:R23"/>
    <mergeCell ref="L25:R25"/>
    <mergeCell ref="L24:R24"/>
    <mergeCell ref="L29:R29"/>
    <mergeCell ref="L30:R30"/>
    <mergeCell ref="L31:R31"/>
    <mergeCell ref="F35:I36"/>
    <mergeCell ref="L37:R37"/>
    <mergeCell ref="L44:R44"/>
    <mergeCell ref="L38:R38"/>
    <mergeCell ref="L39:R39"/>
    <mergeCell ref="L40:R40"/>
    <mergeCell ref="L41:R41"/>
    <mergeCell ref="L42:R42"/>
    <mergeCell ref="L43:R43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73C1-866F-49DA-8E4B-89B751325323}">
  <sheetPr codeName="Sheet2"/>
  <dimension ref="A1:AF46"/>
  <sheetViews>
    <sheetView zoomScaleNormal="100" workbookViewId="0">
      <selection activeCell="E10" sqref="E10:F10"/>
    </sheetView>
  </sheetViews>
  <sheetFormatPr defaultRowHeight="15.75" x14ac:dyDescent="0.25"/>
  <cols>
    <col min="1" max="2" width="9.140625" style="3"/>
    <col min="3" max="3" width="10.7109375" style="3" customWidth="1"/>
    <col min="4" max="23" width="9.140625" style="3"/>
    <col min="24" max="24" width="12.85546875" style="3" customWidth="1"/>
    <col min="25" max="16384" width="9.140625" style="3"/>
  </cols>
  <sheetData>
    <row r="1" spans="1:3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5" t="s">
        <v>236</v>
      </c>
      <c r="S1" s="85"/>
      <c r="T1" s="85"/>
      <c r="U1" s="85"/>
      <c r="V1" s="85"/>
      <c r="W1" s="85"/>
      <c r="X1" s="85"/>
      <c r="Y1" s="2"/>
      <c r="Z1" s="2"/>
      <c r="AA1" s="2"/>
      <c r="AB1" s="2"/>
      <c r="AC1" s="2"/>
      <c r="AD1" s="2"/>
      <c r="AE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5"/>
      <c r="S2" s="85"/>
      <c r="T2" s="85"/>
      <c r="U2" s="85"/>
      <c r="V2" s="85"/>
      <c r="W2" s="85"/>
      <c r="X2" s="85"/>
      <c r="Y2" s="2"/>
      <c r="Z2" s="2"/>
      <c r="AA2" s="2"/>
      <c r="AB2" s="2"/>
      <c r="AC2" s="2"/>
      <c r="AD2" s="2"/>
      <c r="AE2" s="2"/>
    </row>
    <row r="3" spans="1:3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5" t="s">
        <v>235</v>
      </c>
      <c r="S3" s="85"/>
      <c r="T3" s="85"/>
      <c r="U3" s="85"/>
      <c r="V3" s="85"/>
      <c r="W3" s="85"/>
      <c r="X3" s="85"/>
      <c r="Y3" s="2"/>
      <c r="Z3" s="2"/>
      <c r="AA3" s="2"/>
      <c r="AB3" s="2"/>
      <c r="AC3" s="2"/>
      <c r="AD3" s="2"/>
      <c r="AE3" s="2"/>
    </row>
    <row r="4" spans="1:3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5"/>
      <c r="S4" s="85"/>
      <c r="T4" s="85"/>
      <c r="U4" s="85"/>
      <c r="V4" s="85"/>
      <c r="W4" s="85"/>
      <c r="X4" s="85"/>
      <c r="Y4" s="2"/>
      <c r="Z4" s="2"/>
      <c r="AA4" s="2"/>
      <c r="AB4" s="2"/>
      <c r="AC4" s="2"/>
      <c r="AD4" s="2"/>
      <c r="AE4" s="2"/>
    </row>
    <row r="5" spans="1:32" ht="15" customHeight="1" x14ac:dyDescent="0.25">
      <c r="A5" s="2"/>
      <c r="B5" s="2"/>
      <c r="C5" s="2"/>
      <c r="D5" s="2"/>
      <c r="E5" s="2"/>
      <c r="F5" s="2"/>
      <c r="G5" s="85" t="s">
        <v>2</v>
      </c>
      <c r="H5" s="85"/>
      <c r="I5" s="85"/>
      <c r="J5" s="85"/>
      <c r="K5" s="85"/>
      <c r="L5" s="85"/>
      <c r="M5" s="85"/>
      <c r="N5" s="2"/>
      <c r="O5" s="2"/>
      <c r="P5" s="2"/>
      <c r="Q5" s="2"/>
      <c r="R5" s="85" t="s">
        <v>169</v>
      </c>
      <c r="S5" s="85"/>
      <c r="T5" s="85"/>
      <c r="U5" s="85"/>
      <c r="V5" s="85"/>
      <c r="W5" s="85"/>
      <c r="X5" s="85"/>
      <c r="Y5" s="2"/>
      <c r="Z5" s="2"/>
      <c r="AA5" s="2"/>
      <c r="AB5" s="2"/>
      <c r="AC5" s="2"/>
      <c r="AD5" s="2"/>
      <c r="AE5" s="2"/>
    </row>
    <row r="6" spans="1:32" ht="15" customHeight="1" x14ac:dyDescent="0.25">
      <c r="A6" s="2"/>
      <c r="B6" s="2"/>
      <c r="C6" s="2"/>
      <c r="D6" s="2"/>
      <c r="E6" s="2"/>
      <c r="F6" s="2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85"/>
      <c r="S6" s="85"/>
      <c r="T6" s="85"/>
      <c r="U6" s="85"/>
      <c r="V6" s="85"/>
      <c r="W6" s="85"/>
      <c r="X6" s="85"/>
      <c r="Y6" s="2"/>
      <c r="Z6" s="2"/>
      <c r="AA6" s="2"/>
      <c r="AB6" s="2"/>
      <c r="AC6" s="2"/>
      <c r="AD6" s="2"/>
      <c r="AE6" s="2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2" ht="21" x14ac:dyDescent="0.35">
      <c r="A9" s="2"/>
      <c r="B9" s="71" t="s">
        <v>4</v>
      </c>
      <c r="C9" s="71"/>
      <c r="D9" s="71"/>
      <c r="E9" s="71"/>
      <c r="F9" s="71"/>
      <c r="G9" s="71"/>
      <c r="H9" s="71"/>
      <c r="I9" s="2"/>
      <c r="J9" s="2"/>
      <c r="K9" s="2"/>
      <c r="L9" s="2"/>
      <c r="M9" s="2"/>
      <c r="N9" s="2"/>
      <c r="O9" s="71" t="s">
        <v>32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2"/>
      <c r="AB9" s="2"/>
      <c r="AC9" s="2"/>
      <c r="AD9" s="2"/>
      <c r="AE9" s="2"/>
    </row>
    <row r="10" spans="1:32" x14ac:dyDescent="0.25">
      <c r="A10" s="2"/>
      <c r="B10" s="2" t="s">
        <v>5</v>
      </c>
      <c r="C10" s="2"/>
      <c r="D10" s="2"/>
      <c r="E10" s="83"/>
      <c r="F10" s="83"/>
      <c r="G10" s="2" t="s">
        <v>15</v>
      </c>
      <c r="H10" s="2"/>
      <c r="I10" s="2"/>
      <c r="J10" s="2"/>
      <c r="K10" s="2"/>
      <c r="L10" s="2"/>
      <c r="M10" s="2"/>
      <c r="N10" s="2"/>
      <c r="O10" s="2"/>
      <c r="P10" s="78" t="s">
        <v>33</v>
      </c>
      <c r="Q10" s="78"/>
      <c r="R10" s="78"/>
      <c r="S10" s="78"/>
      <c r="T10" s="77">
        <v>500</v>
      </c>
      <c r="U10" s="77"/>
      <c r="V10" s="86" t="s">
        <v>43</v>
      </c>
      <c r="W10" s="86"/>
      <c r="X10" s="86"/>
      <c r="Y10" s="86"/>
      <c r="Z10" s="86"/>
      <c r="AA10" s="2"/>
      <c r="AB10" s="2"/>
      <c r="AC10" s="2"/>
      <c r="AD10" s="2"/>
      <c r="AE10" s="2"/>
    </row>
    <row r="11" spans="1:32" x14ac:dyDescent="0.25">
      <c r="A11" s="2"/>
      <c r="B11" s="2" t="s">
        <v>6</v>
      </c>
      <c r="C11" s="2"/>
      <c r="D11" s="2"/>
      <c r="E11" s="83"/>
      <c r="F11" s="83"/>
      <c r="G11" s="2"/>
      <c r="H11" s="2"/>
      <c r="I11" s="2"/>
      <c r="J11" s="2"/>
      <c r="K11" s="2"/>
      <c r="L11" s="2"/>
      <c r="M11" s="2"/>
      <c r="N11" s="2"/>
      <c r="O11" s="2"/>
      <c r="P11" s="78" t="s">
        <v>34</v>
      </c>
      <c r="Q11" s="78"/>
      <c r="R11" s="78"/>
      <c r="S11" s="78"/>
      <c r="T11" s="77">
        <v>35</v>
      </c>
      <c r="U11" s="77"/>
      <c r="V11" s="86" t="s">
        <v>83</v>
      </c>
      <c r="W11" s="86"/>
      <c r="X11" s="86"/>
      <c r="Y11" s="86"/>
      <c r="Z11" s="86"/>
      <c r="AA11" s="2"/>
      <c r="AB11" s="2"/>
      <c r="AC11" s="2"/>
      <c r="AD11" s="2"/>
      <c r="AE11" s="2"/>
    </row>
    <row r="12" spans="1:32" x14ac:dyDescent="0.25">
      <c r="A12" s="2"/>
      <c r="B12" s="2" t="s">
        <v>7</v>
      </c>
      <c r="C12" s="2"/>
      <c r="D12" s="2"/>
      <c r="E12" s="83"/>
      <c r="F12" s="83"/>
      <c r="G12" s="2" t="s">
        <v>16</v>
      </c>
      <c r="H12" s="2"/>
      <c r="I12" s="2"/>
      <c r="J12" s="2"/>
      <c r="K12" s="2"/>
      <c r="L12" s="2"/>
      <c r="M12" s="2"/>
      <c r="N12" s="2"/>
      <c r="O12" s="2"/>
      <c r="P12" s="78" t="s">
        <v>35</v>
      </c>
      <c r="Q12" s="78"/>
      <c r="R12" s="78"/>
      <c r="S12" s="78"/>
      <c r="T12" s="77">
        <v>12.5</v>
      </c>
      <c r="U12" s="77"/>
      <c r="V12" s="86" t="s">
        <v>84</v>
      </c>
      <c r="W12" s="86"/>
      <c r="X12" s="86"/>
      <c r="Y12" s="86"/>
      <c r="Z12" s="86"/>
      <c r="AA12" s="2"/>
      <c r="AB12" s="2"/>
      <c r="AC12" s="2"/>
      <c r="AD12" s="2"/>
      <c r="AE12" s="2"/>
    </row>
    <row r="13" spans="1:32" x14ac:dyDescent="0.25">
      <c r="A13" s="2"/>
      <c r="B13" s="2" t="s">
        <v>8</v>
      </c>
      <c r="C13" s="2"/>
      <c r="D13" s="2"/>
      <c r="E13" s="83"/>
      <c r="F13" s="83"/>
      <c r="G13" s="77" t="s">
        <v>23</v>
      </c>
      <c r="H13" s="77"/>
      <c r="I13" s="9">
        <f>IF(G13="inches",E13,E13/2.54)</f>
        <v>0</v>
      </c>
      <c r="J13" s="9">
        <f>I13*2.54</f>
        <v>0</v>
      </c>
      <c r="K13" s="2"/>
      <c r="L13" s="2"/>
      <c r="M13" s="2"/>
      <c r="N13" s="2"/>
      <c r="O13" s="2"/>
      <c r="P13" s="78" t="s">
        <v>38</v>
      </c>
      <c r="Q13" s="78"/>
      <c r="R13" s="78"/>
      <c r="S13" s="78"/>
      <c r="T13" s="77">
        <v>0.65</v>
      </c>
      <c r="U13" s="77"/>
      <c r="V13" s="86" t="s">
        <v>45</v>
      </c>
      <c r="W13" s="86"/>
      <c r="X13" s="86"/>
      <c r="Y13" s="86"/>
      <c r="Z13" s="86"/>
      <c r="AA13" s="2"/>
      <c r="AB13" s="2"/>
      <c r="AC13" s="2"/>
      <c r="AD13" s="2"/>
      <c r="AE13" s="2"/>
    </row>
    <row r="14" spans="1:32" x14ac:dyDescent="0.25">
      <c r="A14" s="2"/>
      <c r="B14" s="2" t="s">
        <v>62</v>
      </c>
      <c r="C14" s="2"/>
      <c r="D14" s="4" t="s">
        <v>48</v>
      </c>
      <c r="E14" s="83"/>
      <c r="F14" s="83"/>
      <c r="G14" s="77" t="s">
        <v>17</v>
      </c>
      <c r="H14" s="77"/>
      <c r="I14" s="9">
        <f>IF(G14="kg",E14,E14/2.2)</f>
        <v>0</v>
      </c>
      <c r="J14" s="9"/>
      <c r="K14" s="2"/>
      <c r="L14" s="2"/>
      <c r="M14" s="2"/>
      <c r="N14" s="2"/>
      <c r="O14" s="2"/>
      <c r="P14" s="78" t="s">
        <v>37</v>
      </c>
      <c r="Q14" s="78"/>
      <c r="R14" s="78"/>
      <c r="S14" s="78"/>
      <c r="T14" s="77" t="s">
        <v>48</v>
      </c>
      <c r="U14" s="77"/>
      <c r="V14" s="8">
        <f>IF(T15&gt;0,T15,IF(T14&lt;1,"",VLOOKUP(T14,D14:F21,2,FALSE)))</f>
        <v>0</v>
      </c>
      <c r="W14" s="64" t="s">
        <v>17</v>
      </c>
      <c r="X14" s="63" t="str">
        <f>IF(ISERROR(I14&gt;DLsheet!H7*EmpiricVANCOMYCINcalc!E16),"TBW",IF(EmpiricVANCOMYCINcalc!I14&gt;DLsheet!H6*EmpiricVANCOMYCINcalc!E16,"AdjBW","TBW"))</f>
        <v>TBW</v>
      </c>
      <c r="Y14" s="2" t="s">
        <v>240</v>
      </c>
      <c r="Z14" s="2"/>
      <c r="AA14" s="2"/>
      <c r="AB14" s="2"/>
      <c r="AC14" s="2"/>
      <c r="AD14" s="2"/>
      <c r="AE14" s="2"/>
      <c r="AF14" s="2"/>
    </row>
    <row r="15" spans="1:32" x14ac:dyDescent="0.25">
      <c r="A15" s="2"/>
      <c r="B15" s="2"/>
      <c r="C15" s="2"/>
      <c r="D15" s="4" t="s">
        <v>10</v>
      </c>
      <c r="E15" s="84" t="str">
        <f>IF(E14&lt;1,"",IF(I14&gt;DLsheet!H6*EmpiricVANCOMYCINcalc!E16,EmpiricVANCOMYCINcalc!E16+DLsheet!H7*(EmpiricVANCOMYCINcalc!E14-EmpiricVANCOMYCINcalc!E16),""))</f>
        <v/>
      </c>
      <c r="F15" s="84"/>
      <c r="G15" s="2" t="s">
        <v>17</v>
      </c>
      <c r="H15" s="2"/>
      <c r="I15" s="47" t="str">
        <f>CONCATENATE("IBW + ",DLsheet!H7,"* (TBW - IBW) If TBW more than ",DLsheet!G6*100,"% overweight")</f>
        <v>IBW + 0.4* (TBW - IBW) If TBW more than 30% overweight</v>
      </c>
      <c r="J15" s="2"/>
      <c r="K15" s="2"/>
      <c r="L15" s="2"/>
      <c r="M15" s="2"/>
      <c r="N15" s="2"/>
      <c r="O15" s="2"/>
      <c r="P15" s="78" t="s">
        <v>41</v>
      </c>
      <c r="Q15" s="78"/>
      <c r="R15" s="78"/>
      <c r="S15" s="78"/>
      <c r="T15" s="81"/>
      <c r="U15" s="81"/>
      <c r="V15" s="2" t="s">
        <v>17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1:32" x14ac:dyDescent="0.25">
      <c r="A16" s="2"/>
      <c r="B16" s="2"/>
      <c r="C16" s="2"/>
      <c r="D16" s="4" t="s">
        <v>9</v>
      </c>
      <c r="E16" s="84" t="str">
        <f>IF(E14&lt;1,"",IF(E11="Male",50+2.3*(I13-60),45.5+2.3*(I13-60)))</f>
        <v/>
      </c>
      <c r="F16" s="84"/>
      <c r="G16" s="2" t="s">
        <v>17</v>
      </c>
      <c r="H16" s="2"/>
      <c r="I16" s="47" t="s">
        <v>30</v>
      </c>
      <c r="J16" s="2"/>
      <c r="K16" s="2"/>
      <c r="L16" s="2"/>
      <c r="M16" s="2"/>
      <c r="N16" s="2"/>
      <c r="O16" s="2"/>
      <c r="P16" s="78" t="s">
        <v>39</v>
      </c>
      <c r="Q16" s="78"/>
      <c r="R16" s="78"/>
      <c r="S16" s="78"/>
      <c r="T16" s="79" t="s">
        <v>52</v>
      </c>
      <c r="U16" s="79"/>
      <c r="V16" s="86" t="s">
        <v>194</v>
      </c>
      <c r="W16" s="86"/>
      <c r="X16" s="86"/>
      <c r="Y16" s="86"/>
      <c r="Z16" s="86"/>
      <c r="AA16" s="2"/>
      <c r="AB16" s="2"/>
      <c r="AC16" s="2"/>
      <c r="AD16" s="2"/>
      <c r="AE16" s="2"/>
    </row>
    <row r="17" spans="1:32" x14ac:dyDescent="0.25">
      <c r="A17" s="2"/>
      <c r="B17" s="2"/>
      <c r="C17" s="2"/>
      <c r="D17" s="4" t="s">
        <v>11</v>
      </c>
      <c r="E17" s="84" t="str">
        <f>IF(E14&lt;1,"",IF(E11="Male",L17,M17))</f>
        <v/>
      </c>
      <c r="F17" s="84"/>
      <c r="G17" s="2" t="s">
        <v>17</v>
      </c>
      <c r="H17" s="2"/>
      <c r="I17" s="47" t="s">
        <v>31</v>
      </c>
      <c r="J17" s="2"/>
      <c r="K17" s="2"/>
      <c r="L17" s="9" t="e">
        <f>1.1*I14-128*I14*I14/J13/J13</f>
        <v>#DIV/0!</v>
      </c>
      <c r="M17" s="9" t="e">
        <f>1.07*I14-148*I14*I14/J13/J13</f>
        <v>#DIV/0!</v>
      </c>
      <c r="N17" s="2"/>
      <c r="O17" s="2"/>
      <c r="P17" s="78" t="s">
        <v>36</v>
      </c>
      <c r="Q17" s="78"/>
      <c r="R17" s="78"/>
      <c r="S17" s="78"/>
      <c r="T17" s="77" t="s">
        <v>12</v>
      </c>
      <c r="U17" s="77"/>
      <c r="V17" s="8" t="str">
        <f>IF(T18&gt;0,T18,IF(T17&lt;1,"",VLOOKUP(T17,D14:F20,2,FALSE)))</f>
        <v/>
      </c>
      <c r="W17" s="64" t="s">
        <v>18</v>
      </c>
      <c r="X17" s="63" t="str">
        <f>IF(ISERROR(I14&gt;DLsheet!H6*EmpiricVANCOMYCINcalc!E16),"CrCl TBW",IF(EmpiricVANCOMYCINcalc!I14&gt;DLsheet!H6*EmpiricVANCOMYCINcalc!E16,"CrCl AdjBW",IF(I14&lt;E16,"CrCl TBW","CrCl IBW")))</f>
        <v>CrCl TBW</v>
      </c>
      <c r="Y17" s="2" t="s">
        <v>239</v>
      </c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2"/>
      <c r="C18" s="2"/>
      <c r="D18" s="4" t="s">
        <v>12</v>
      </c>
      <c r="E18" s="82" t="str">
        <f>IF(E14&lt;1,"",IF(E11="Male",(140-E10)*E14/72/E12,0.85*(140-E10)*E14/72/E12))</f>
        <v/>
      </c>
      <c r="F18" s="82"/>
      <c r="G18" s="2" t="s">
        <v>18</v>
      </c>
      <c r="H18" s="2"/>
      <c r="I18" s="47" t="s">
        <v>58</v>
      </c>
      <c r="J18" s="2"/>
      <c r="K18" s="2"/>
      <c r="L18" s="2"/>
      <c r="M18" s="2"/>
      <c r="N18" s="2"/>
      <c r="O18" s="2"/>
      <c r="P18" s="78" t="s">
        <v>40</v>
      </c>
      <c r="Q18" s="78"/>
      <c r="R18" s="78"/>
      <c r="S18" s="78"/>
      <c r="T18" s="80"/>
      <c r="U18" s="80"/>
      <c r="V18" s="2" t="s">
        <v>18</v>
      </c>
      <c r="W18" s="2"/>
      <c r="X18" s="2"/>
      <c r="Y18" s="2"/>
      <c r="Z18" s="2"/>
      <c r="AA18" s="2"/>
      <c r="AB18" s="2"/>
      <c r="AC18" s="2"/>
      <c r="AD18" s="2"/>
      <c r="AE18" s="2"/>
    </row>
    <row r="19" spans="1:32" x14ac:dyDescent="0.25">
      <c r="A19" s="2"/>
      <c r="B19" s="2"/>
      <c r="C19" s="2"/>
      <c r="D19" s="4" t="s">
        <v>13</v>
      </c>
      <c r="E19" s="82" t="str">
        <f>IF(E15="","",IF(E11="Male",(140-E10)*E15/72/E12,0.85*(140-E10)*E15/72/E12))</f>
        <v/>
      </c>
      <c r="F19" s="82"/>
      <c r="G19" s="2" t="s">
        <v>18</v>
      </c>
      <c r="H19" s="2"/>
      <c r="I19" s="47" t="s">
        <v>59</v>
      </c>
      <c r="J19" s="2"/>
      <c r="K19" s="2"/>
      <c r="L19" s="2"/>
      <c r="M19" s="2"/>
      <c r="N19" s="2"/>
      <c r="O19" s="2"/>
      <c r="P19" s="78" t="s">
        <v>42</v>
      </c>
      <c r="Q19" s="78"/>
      <c r="R19" s="78"/>
      <c r="S19" s="78"/>
      <c r="T19" s="77">
        <v>1</v>
      </c>
      <c r="U19" s="77"/>
      <c r="V19" s="2" t="s">
        <v>46</v>
      </c>
      <c r="W19" s="2"/>
      <c r="X19" s="2"/>
      <c r="Y19" s="2"/>
      <c r="Z19" s="2"/>
      <c r="AA19" s="2"/>
      <c r="AB19" s="2"/>
      <c r="AC19" s="2"/>
      <c r="AD19" s="2"/>
      <c r="AE19" s="2"/>
    </row>
    <row r="20" spans="1:32" x14ac:dyDescent="0.25">
      <c r="A20" s="2"/>
      <c r="B20" s="2"/>
      <c r="C20" s="2"/>
      <c r="D20" s="4" t="s">
        <v>14</v>
      </c>
      <c r="E20" s="82" t="str">
        <f>IF(E14&lt;1,"",IF(E11="Male",(140-E10)*E16/72/E12,0.85*(140-E10)*E16/72/E12))</f>
        <v/>
      </c>
      <c r="F20" s="82"/>
      <c r="G20" s="2" t="s">
        <v>18</v>
      </c>
      <c r="H20" s="2"/>
      <c r="I20" s="47" t="s">
        <v>60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2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0" t="s">
        <v>51</v>
      </c>
      <c r="L21" s="9" t="e">
        <f>V17*0.0016</f>
        <v>#VALUE!</v>
      </c>
      <c r="M21" s="2"/>
      <c r="N21" s="2"/>
      <c r="O21" s="2"/>
      <c r="P21" s="2" t="s">
        <v>61</v>
      </c>
      <c r="Q21" s="2"/>
      <c r="R21" s="2"/>
      <c r="S21" s="70" t="str">
        <f>IF(T16&lt;1,"",VLOOKUP(T16,DLsheet!K14:L16,2,FALSE))</f>
        <v>Less aggressive equation. Study included patienst with varying degrees of renal dysfunction. Consider in patients with significant comorbidities (e.g. long-standing DM, CHF, CKD).</v>
      </c>
      <c r="T21" s="70"/>
      <c r="U21" s="70"/>
      <c r="V21" s="70"/>
      <c r="W21" s="70"/>
      <c r="X21" s="70"/>
      <c r="Y21" s="70"/>
      <c r="Z21" s="70"/>
      <c r="AA21" s="2"/>
      <c r="AB21" s="2"/>
      <c r="AC21" s="2"/>
      <c r="AD21" s="2"/>
      <c r="AE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0" t="s">
        <v>52</v>
      </c>
      <c r="L22" s="9" t="e">
        <f>V17*0.00083+0.0044</f>
        <v>#VALUE!</v>
      </c>
      <c r="M22" s="2"/>
      <c r="N22" s="2"/>
      <c r="O22" s="2"/>
      <c r="P22" s="2"/>
      <c r="Q22" s="2"/>
      <c r="R22" s="2"/>
      <c r="S22" s="70"/>
      <c r="T22" s="70"/>
      <c r="U22" s="70"/>
      <c r="V22" s="70"/>
      <c r="W22" s="70"/>
      <c r="X22" s="70"/>
      <c r="Y22" s="70"/>
      <c r="Z22" s="70"/>
      <c r="AA22" s="2"/>
      <c r="AB22" s="2"/>
      <c r="AC22" s="2"/>
      <c r="AD22" s="2"/>
      <c r="AE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0" t="s">
        <v>53</v>
      </c>
      <c r="L23" s="9" t="e">
        <f>V17/E26*60/1000</f>
        <v>#VALUE!</v>
      </c>
      <c r="M23" s="2"/>
      <c r="N23" s="2"/>
      <c r="O23" s="2"/>
      <c r="P23" s="2"/>
      <c r="Q23" s="2"/>
      <c r="R23" s="2"/>
      <c r="S23" s="70"/>
      <c r="T23" s="70"/>
      <c r="U23" s="70"/>
      <c r="V23" s="70"/>
      <c r="W23" s="70"/>
      <c r="X23" s="70"/>
      <c r="Y23" s="70"/>
      <c r="Z23" s="70"/>
      <c r="AA23" s="2"/>
      <c r="AB23" s="2"/>
      <c r="AC23" s="2"/>
      <c r="AD23" s="2"/>
      <c r="AE23" s="2"/>
    </row>
    <row r="24" spans="1:3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0"/>
      <c r="L24" s="9"/>
      <c r="M24" s="2"/>
      <c r="N24" s="2"/>
      <c r="O24" s="2"/>
      <c r="P24" s="2"/>
      <c r="Q24" s="2"/>
      <c r="R24" s="2"/>
      <c r="S24" s="25"/>
      <c r="T24" s="25"/>
      <c r="U24" s="25"/>
      <c r="V24" s="25"/>
      <c r="W24" s="25"/>
      <c r="X24" s="25"/>
      <c r="Y24" s="25"/>
      <c r="Z24" s="25"/>
      <c r="AA24" s="2"/>
      <c r="AB24" s="2"/>
      <c r="AC24" s="2"/>
      <c r="AD24" s="2"/>
      <c r="AE24" s="2"/>
    </row>
    <row r="25" spans="1:32" ht="21" x14ac:dyDescent="0.35">
      <c r="A25" s="2"/>
      <c r="B25" s="71" t="s">
        <v>181</v>
      </c>
      <c r="C25" s="71"/>
      <c r="D25" s="71"/>
      <c r="E25" s="71"/>
      <c r="F25" s="71"/>
      <c r="G25" s="71"/>
      <c r="H25" s="71"/>
      <c r="I25" s="46"/>
      <c r="J25" s="46"/>
      <c r="K25" s="46"/>
      <c r="L25" s="46"/>
      <c r="M25" s="2"/>
      <c r="N25" s="32"/>
      <c r="O25" s="71" t="s">
        <v>32</v>
      </c>
      <c r="P25" s="71"/>
      <c r="Q25" s="71"/>
      <c r="R25" s="71"/>
      <c r="S25" s="71"/>
      <c r="T25" s="71"/>
      <c r="U25" s="71"/>
      <c r="V25" s="32"/>
      <c r="W25" s="32"/>
      <c r="X25" s="2"/>
      <c r="Y25" s="2"/>
      <c r="Z25" s="2"/>
      <c r="AA25" s="2"/>
      <c r="AB25" s="2"/>
      <c r="AC25" s="2"/>
      <c r="AD25" s="2"/>
      <c r="AE25" s="2"/>
    </row>
    <row r="26" spans="1:32" ht="15.75" customHeight="1" x14ac:dyDescent="0.3">
      <c r="A26" s="2"/>
      <c r="B26" s="2"/>
      <c r="C26" s="2"/>
      <c r="D26" s="24" t="s">
        <v>64</v>
      </c>
      <c r="E26" s="69" t="str">
        <f>IF(E14&lt;1,"",T13*V14)</f>
        <v/>
      </c>
      <c r="F26" s="69"/>
      <c r="G26" s="34"/>
      <c r="H26" s="2" t="s">
        <v>66</v>
      </c>
      <c r="I26" s="47" t="str">
        <f>CONCATENATE(ROUND(V14,1),"kg * ",T13," L/kg")</f>
        <v>0kg * 0.65 L/kg</v>
      </c>
      <c r="J26" s="2"/>
      <c r="K26" s="2"/>
      <c r="L26" s="2"/>
      <c r="M26" s="2"/>
      <c r="N26" s="2"/>
      <c r="O26" s="2"/>
      <c r="P26" s="24" t="s">
        <v>75</v>
      </c>
      <c r="Q26" s="73" t="e">
        <f>EmpWorksheet!AB1</f>
        <v>#VALUE!</v>
      </c>
      <c r="R26" s="73"/>
      <c r="S26" s="73"/>
      <c r="T26" s="2" t="s">
        <v>70</v>
      </c>
      <c r="U26" s="2"/>
      <c r="V26" s="11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x14ac:dyDescent="0.3">
      <c r="A27" s="2"/>
      <c r="B27" s="2"/>
      <c r="C27" s="2"/>
      <c r="D27" s="24" t="s">
        <v>65</v>
      </c>
      <c r="E27" s="76" t="str">
        <f>IF(E14&lt;1,"",VLOOKUP(T16,K21:L23,2,FALSE))</f>
        <v/>
      </c>
      <c r="F27" s="76"/>
      <c r="G27" s="35"/>
      <c r="H27" s="2" t="s">
        <v>67</v>
      </c>
      <c r="I27" s="47" t="e">
        <f>CONCATENATE("CrCl = ",ROUND(V17,1),"  Ke equation = ",T16)</f>
        <v>#VALUE!</v>
      </c>
      <c r="J27" s="2"/>
      <c r="K27" s="2"/>
      <c r="L27" s="2"/>
      <c r="M27" s="2"/>
      <c r="N27" s="2"/>
      <c r="O27" s="2"/>
      <c r="P27" s="24" t="s">
        <v>76</v>
      </c>
      <c r="Q27" s="74" t="e">
        <f>EmpWorksheet!AC1</f>
        <v>#VALUE!</v>
      </c>
      <c r="R27" s="74"/>
      <c r="S27" s="74"/>
      <c r="T27" s="2" t="s">
        <v>46</v>
      </c>
      <c r="U27" s="2"/>
      <c r="V27" s="11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x14ac:dyDescent="0.35">
      <c r="A28" s="2"/>
      <c r="B28" s="2"/>
      <c r="C28" s="2"/>
      <c r="D28" s="24" t="s">
        <v>68</v>
      </c>
      <c r="E28" s="69" t="str">
        <f>IF(E14&lt;1,"",ROUND(0.693/E27,1))</f>
        <v/>
      </c>
      <c r="F28" s="69"/>
      <c r="G28" s="34"/>
      <c r="H28" s="2" t="s">
        <v>46</v>
      </c>
      <c r="I28" s="47" t="e">
        <f>CONCATENATE("ln(2)/", ROUND(E27,3))</f>
        <v>#VALUE!</v>
      </c>
      <c r="J28" s="2"/>
      <c r="K28" s="2"/>
      <c r="L28" s="2"/>
      <c r="M28" s="2"/>
      <c r="N28" s="2"/>
      <c r="O28" s="2"/>
      <c r="P28" s="24" t="s">
        <v>77</v>
      </c>
      <c r="Q28" s="74" t="e">
        <f>VLOOKUP(Q26,DLsheet!E13:F21,2,FALSE)</f>
        <v>#VALUE!</v>
      </c>
      <c r="R28" s="74"/>
      <c r="S28" s="74"/>
      <c r="T28" s="2" t="s">
        <v>46</v>
      </c>
      <c r="U28" s="2"/>
      <c r="V28" s="11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3">
      <c r="A29" s="2"/>
      <c r="B29" s="2"/>
      <c r="C29" s="2"/>
      <c r="D29" s="24" t="s">
        <v>69</v>
      </c>
      <c r="E29" s="69" t="str">
        <f>IF(E14&lt;1,"",T10*E27*E26)</f>
        <v/>
      </c>
      <c r="F29" s="69"/>
      <c r="G29" s="34"/>
      <c r="H29" s="2" t="s">
        <v>70</v>
      </c>
      <c r="I29" s="47" t="e">
        <f>CONCATENATE("(Desired AUC)*(Ke)*(Vd) = ",T10," * ",ROUND(E27,3)," * ",ROUND(E26,1))</f>
        <v>#VALUE!</v>
      </c>
      <c r="J29" s="2"/>
      <c r="K29" s="2"/>
      <c r="L29" s="2"/>
      <c r="M29" s="2"/>
      <c r="N29" s="2"/>
      <c r="O29" s="2"/>
      <c r="P29" s="24" t="s">
        <v>78</v>
      </c>
      <c r="Q29" s="75" t="e">
        <f>Q26*24/Q27/E27/E26</f>
        <v>#VALUE!</v>
      </c>
      <c r="R29" s="75"/>
      <c r="S29" s="75"/>
      <c r="T29" s="2" t="s">
        <v>81</v>
      </c>
      <c r="U29" s="2"/>
      <c r="V29" s="11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x14ac:dyDescent="0.3">
      <c r="A30" s="2"/>
      <c r="B30" s="2"/>
      <c r="C30" s="2"/>
      <c r="D30" s="24" t="s">
        <v>71</v>
      </c>
      <c r="E30" s="69" t="str">
        <f>IF(E14&lt;1,"",E29/(24/E31))</f>
        <v/>
      </c>
      <c r="F30" s="69"/>
      <c r="G30" s="34"/>
      <c r="H30" s="2" t="s">
        <v>70</v>
      </c>
      <c r="I30" s="47" t="s">
        <v>74</v>
      </c>
      <c r="J30" s="2"/>
      <c r="K30" s="2"/>
      <c r="L30" s="2"/>
      <c r="M30" s="2"/>
      <c r="N30" s="2"/>
      <c r="O30" s="2"/>
      <c r="P30" s="24" t="s">
        <v>79</v>
      </c>
      <c r="Q30" s="75" t="e">
        <f>(Q26/E26)/(1-EXP(-E27*Q27))</f>
        <v>#VALUE!</v>
      </c>
      <c r="R30" s="75"/>
      <c r="S30" s="75"/>
      <c r="T30" s="2" t="s">
        <v>82</v>
      </c>
      <c r="U30" s="2"/>
      <c r="V30" s="11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customHeight="1" x14ac:dyDescent="0.3">
      <c r="A31" s="2"/>
      <c r="B31" s="2"/>
      <c r="C31" s="2"/>
      <c r="D31" s="24" t="s">
        <v>72</v>
      </c>
      <c r="E31" s="69" t="str">
        <f>IF(E14&lt;1,"",(LN(T12/T11)/-E27)+T19)</f>
        <v/>
      </c>
      <c r="F31" s="69"/>
      <c r="G31" s="34"/>
      <c r="H31" s="2" t="s">
        <v>46</v>
      </c>
      <c r="I31" s="47" t="s">
        <v>73</v>
      </c>
      <c r="J31" s="2"/>
      <c r="K31" s="2"/>
      <c r="L31" s="2"/>
      <c r="M31" s="2"/>
      <c r="N31" s="2"/>
      <c r="O31" s="2"/>
      <c r="P31" s="24" t="s">
        <v>80</v>
      </c>
      <c r="Q31" s="75" t="e">
        <f>Q30*EXP(-E27*(Q27-Q28))</f>
        <v>#VALUE!</v>
      </c>
      <c r="R31" s="75"/>
      <c r="S31" s="75"/>
      <c r="T31" s="2" t="s">
        <v>82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72" t="s">
        <v>191</v>
      </c>
      <c r="R33" s="72"/>
      <c r="S33" s="72"/>
      <c r="T33" s="72"/>
      <c r="U33" s="7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7"/>
      <c r="Q34" s="17"/>
      <c r="R34" s="17"/>
      <c r="S34" s="18" t="s">
        <v>102</v>
      </c>
      <c r="T34" s="18" t="s">
        <v>87</v>
      </c>
      <c r="U34" s="18" t="s">
        <v>88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7">
        <v>1</v>
      </c>
      <c r="Q35" s="17" t="e">
        <f>CONCATENATE(EmpWorksheet!AB1,"mg IV q",EmpWorksheet!AC1,"h")</f>
        <v>#VALUE!</v>
      </c>
      <c r="R35" s="17"/>
      <c r="S35" s="18" t="e">
        <f>ROUND(EmpWorksheet!AG1,1)</f>
        <v>#VALUE!</v>
      </c>
      <c r="T35" s="18" t="e">
        <f>ROUND(EmpWorksheet!AE1,1)</f>
        <v>#VALUE!</v>
      </c>
      <c r="U35" s="18" t="e">
        <f>ROUND(EmpWorksheet!AF1,1)</f>
        <v>#VALUE!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7">
        <v>2</v>
      </c>
      <c r="Q36" s="17" t="e">
        <f>CONCATENATE(EmpWorksheet!AB2,"mg IV q",EmpWorksheet!AC2,"h")</f>
        <v>#VALUE!</v>
      </c>
      <c r="R36" s="17"/>
      <c r="S36" s="18" t="e">
        <f>ROUND(EmpWorksheet!AG2,1)</f>
        <v>#VALUE!</v>
      </c>
      <c r="T36" s="18" t="e">
        <f>ROUND(EmpWorksheet!AE2,1)</f>
        <v>#VALUE!</v>
      </c>
      <c r="U36" s="18" t="e">
        <f>ROUND(EmpWorksheet!AF2,1)</f>
        <v>#VALUE!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7">
        <v>3</v>
      </c>
      <c r="Q37" s="17" t="e">
        <f>CONCATENATE(EmpWorksheet!AB3,"mg IV q",EmpWorksheet!AC3,"h")</f>
        <v>#VALUE!</v>
      </c>
      <c r="R37" s="17"/>
      <c r="S37" s="18" t="e">
        <f>ROUND(EmpWorksheet!AG3,1)</f>
        <v>#VALUE!</v>
      </c>
      <c r="T37" s="18" t="e">
        <f>ROUND(EmpWorksheet!AE3,1)</f>
        <v>#VALUE!</v>
      </c>
      <c r="U37" s="18" t="e">
        <f>ROUND(EmpWorksheet!AF3,1)</f>
        <v>#VALUE!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</sheetData>
  <sheetProtection sheet="1" selectLockedCells="1"/>
  <mergeCells count="60">
    <mergeCell ref="V16:Z16"/>
    <mergeCell ref="V10:Z10"/>
    <mergeCell ref="V11:Z11"/>
    <mergeCell ref="V12:Z12"/>
    <mergeCell ref="V13:Z13"/>
    <mergeCell ref="R3:X4"/>
    <mergeCell ref="R1:X2"/>
    <mergeCell ref="G5:M6"/>
    <mergeCell ref="E10:F10"/>
    <mergeCell ref="E11:F11"/>
    <mergeCell ref="R5:X6"/>
    <mergeCell ref="O9:Z9"/>
    <mergeCell ref="E18:F18"/>
    <mergeCell ref="E19:F19"/>
    <mergeCell ref="E20:F20"/>
    <mergeCell ref="B9:H9"/>
    <mergeCell ref="G13:H13"/>
    <mergeCell ref="G14:H14"/>
    <mergeCell ref="E12:F12"/>
    <mergeCell ref="E13:F13"/>
    <mergeCell ref="E14:F14"/>
    <mergeCell ref="E16:F16"/>
    <mergeCell ref="E15:F15"/>
    <mergeCell ref="E17:F17"/>
    <mergeCell ref="P16:S16"/>
    <mergeCell ref="P18:S18"/>
    <mergeCell ref="P15:S15"/>
    <mergeCell ref="P19:S19"/>
    <mergeCell ref="T17:U17"/>
    <mergeCell ref="P17:S17"/>
    <mergeCell ref="T16:U16"/>
    <mergeCell ref="T18:U18"/>
    <mergeCell ref="T15:U15"/>
    <mergeCell ref="T19:U19"/>
    <mergeCell ref="T14:U14"/>
    <mergeCell ref="T13:U13"/>
    <mergeCell ref="P10:S10"/>
    <mergeCell ref="P11:S11"/>
    <mergeCell ref="P12:S12"/>
    <mergeCell ref="P14:S14"/>
    <mergeCell ref="P13:S13"/>
    <mergeCell ref="T10:U10"/>
    <mergeCell ref="T11:U11"/>
    <mergeCell ref="T12:U12"/>
    <mergeCell ref="E31:F31"/>
    <mergeCell ref="S21:Z23"/>
    <mergeCell ref="B25:H25"/>
    <mergeCell ref="O25:U25"/>
    <mergeCell ref="Q33:U33"/>
    <mergeCell ref="Q26:S26"/>
    <mergeCell ref="Q27:S27"/>
    <mergeCell ref="Q28:S28"/>
    <mergeCell ref="Q29:S29"/>
    <mergeCell ref="Q30:S30"/>
    <mergeCell ref="Q31:S31"/>
    <mergeCell ref="E26:F26"/>
    <mergeCell ref="E27:F27"/>
    <mergeCell ref="E28:F28"/>
    <mergeCell ref="E29:F29"/>
    <mergeCell ref="E30:F30"/>
  </mergeCells>
  <conditionalFormatting sqref="X14">
    <cfRule type="expression" dxfId="1" priority="2">
      <formula>$T$14&lt;&gt;$X$14</formula>
    </cfRule>
  </conditionalFormatting>
  <conditionalFormatting sqref="X17">
    <cfRule type="expression" dxfId="0" priority="1">
      <formula>$T$17&lt;&gt;$X$17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63C0511-1B23-4F9D-B37F-525B76D30347}">
          <x14:formula1>
            <xm:f>DLsheet!$B$6:$B$7</xm:f>
          </x14:formula1>
          <xm:sqref>E11:F11</xm:sqref>
        </x14:dataValidation>
        <x14:dataValidation type="list" allowBlank="1" showInputMessage="1" showErrorMessage="1" xr:uid="{E5E87AC8-2E37-423C-8DA3-6A9B93AC02C9}">
          <x14:formula1>
            <xm:f>DLsheet!$D$6:$D$7</xm:f>
          </x14:formula1>
          <xm:sqref>G13:H13</xm:sqref>
        </x14:dataValidation>
        <x14:dataValidation type="list" allowBlank="1" showInputMessage="1" showErrorMessage="1" xr:uid="{C3941FE2-210D-4C6A-85D1-60971003760B}">
          <x14:formula1>
            <xm:f>DLsheet!$E$6:$E$7</xm:f>
          </x14:formula1>
          <xm:sqref>G14:H15</xm:sqref>
        </x14:dataValidation>
        <x14:dataValidation type="list" allowBlank="1" showInputMessage="1" showErrorMessage="1" xr:uid="{D1C32E66-1167-4314-A1E5-8EB5C2F2CEF4}">
          <x14:formula1>
            <xm:f>DLsheet!$I$6:$I$9</xm:f>
          </x14:formula1>
          <xm:sqref>T17:U17</xm:sqref>
        </x14:dataValidation>
        <x14:dataValidation type="list" allowBlank="1" showInputMessage="1" showErrorMessage="1" xr:uid="{32AF6AFB-27FC-4695-87C9-57CBDFF0336E}">
          <x14:formula1>
            <xm:f>DLsheet!$J$6:$J$9</xm:f>
          </x14:formula1>
          <xm:sqref>T14:U14</xm:sqref>
        </x14:dataValidation>
        <x14:dataValidation type="list" allowBlank="1" showInputMessage="1" showErrorMessage="1" xr:uid="{DE2D81F6-6D85-4380-9021-2F8800DC2141}">
          <x14:formula1>
            <xm:f>DLsheet!$K$14:$K$16</xm:f>
          </x14:formula1>
          <xm:sqref>T16:U16</xm:sqref>
        </x14:dataValidation>
        <x14:dataValidation type="decimal" allowBlank="1" showInputMessage="1" showErrorMessage="1" xr:uid="{A7885A1D-6A82-4087-937E-0BEA7C99E621}">
          <x14:formula1>
            <xm:f>DLsheet!C6</xm:f>
          </x14:formula1>
          <x14:formula2>
            <xm:f>DLsheet!C7</xm:f>
          </x14:formula2>
          <xm:sqref>E12:F12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4423-30C2-421B-8435-2AF4622401E0}">
  <sheetPr codeName="Sheet10"/>
  <dimension ref="A1:S40"/>
  <sheetViews>
    <sheetView workbookViewId="0">
      <selection activeCell="B2" sqref="B2:B30"/>
    </sheetView>
  </sheetViews>
  <sheetFormatPr defaultRowHeight="15" x14ac:dyDescent="0.25"/>
  <cols>
    <col min="1" max="1" width="9.140625" customWidth="1"/>
    <col min="2" max="2" width="102.85546875" customWidth="1"/>
  </cols>
  <sheetData>
    <row r="1" spans="1:19" ht="18.75" customHeight="1" x14ac:dyDescent="0.3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 x14ac:dyDescent="0.25">
      <c r="A2" s="1"/>
      <c r="B2" s="87" t="e">
        <f>DLsheet!L53</f>
        <v>#VALUE!</v>
      </c>
      <c r="C2" s="1"/>
      <c r="D2" s="1"/>
      <c r="E2" s="1"/>
      <c r="F2" s="1"/>
      <c r="G2" s="1"/>
      <c r="H2" s="1"/>
      <c r="I2" s="1"/>
      <c r="J2" s="1"/>
      <c r="K2" s="85" t="s">
        <v>169</v>
      </c>
      <c r="L2" s="85"/>
      <c r="M2" s="85"/>
      <c r="N2" s="85"/>
      <c r="O2" s="85"/>
      <c r="P2" s="85"/>
      <c r="Q2" s="85"/>
      <c r="R2" s="1"/>
      <c r="S2" s="1"/>
    </row>
    <row r="3" spans="1:19" ht="18.75" customHeight="1" x14ac:dyDescent="0.25">
      <c r="A3" s="1"/>
      <c r="B3" s="87"/>
      <c r="C3" s="1"/>
      <c r="D3" s="1"/>
      <c r="E3" s="1"/>
      <c r="F3" s="1"/>
      <c r="G3" s="1"/>
      <c r="H3" s="1"/>
      <c r="I3" s="1"/>
      <c r="J3" s="1"/>
      <c r="K3" s="85"/>
      <c r="L3" s="85"/>
      <c r="M3" s="85"/>
      <c r="N3" s="85"/>
      <c r="O3" s="85"/>
      <c r="P3" s="85"/>
      <c r="Q3" s="85"/>
      <c r="R3" s="1"/>
      <c r="S3" s="1"/>
    </row>
    <row r="4" spans="1:19" ht="18.75" customHeight="1" x14ac:dyDescent="0.3">
      <c r="A4" s="61"/>
      <c r="B4" s="8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customHeight="1" x14ac:dyDescent="0.25">
      <c r="A5" s="1"/>
      <c r="B5" s="87"/>
      <c r="C5" s="1"/>
      <c r="D5" s="1"/>
      <c r="E5" s="1"/>
      <c r="F5" s="1"/>
      <c r="G5" s="1"/>
      <c r="H5" s="1"/>
      <c r="I5" s="1"/>
      <c r="J5" s="1"/>
      <c r="K5" s="85" t="s">
        <v>234</v>
      </c>
      <c r="L5" s="85"/>
      <c r="M5" s="85"/>
      <c r="N5" s="85"/>
      <c r="O5" s="85"/>
      <c r="P5" s="85"/>
      <c r="Q5" s="85"/>
      <c r="R5" s="1"/>
      <c r="S5" s="1"/>
    </row>
    <row r="6" spans="1:19" ht="18.75" customHeight="1" x14ac:dyDescent="0.25">
      <c r="A6" s="1"/>
      <c r="B6" s="87"/>
      <c r="C6" s="1"/>
      <c r="D6" s="1"/>
      <c r="E6" s="1"/>
      <c r="F6" s="1"/>
      <c r="G6" s="1"/>
      <c r="H6" s="1"/>
      <c r="I6" s="1"/>
      <c r="J6" s="1"/>
      <c r="K6" s="85"/>
      <c r="L6" s="85"/>
      <c r="M6" s="85"/>
      <c r="N6" s="85"/>
      <c r="O6" s="85"/>
      <c r="P6" s="85"/>
      <c r="Q6" s="85"/>
      <c r="R6" s="1"/>
      <c r="S6" s="1"/>
    </row>
    <row r="7" spans="1:19" ht="18.75" customHeight="1" x14ac:dyDescent="0.3">
      <c r="A7" s="61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 customHeight="1" x14ac:dyDescent="0.25">
      <c r="A8" s="1"/>
      <c r="B8" s="8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customHeight="1" x14ac:dyDescent="0.25">
      <c r="A9" s="1"/>
      <c r="B9" s="8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customHeight="1" x14ac:dyDescent="0.3">
      <c r="A10" s="61"/>
      <c r="B10" s="8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 x14ac:dyDescent="0.25">
      <c r="A11" s="1"/>
      <c r="B11" s="8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 x14ac:dyDescent="0.25">
      <c r="A12" s="1"/>
      <c r="B12" s="8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 x14ac:dyDescent="0.25">
      <c r="A13" s="1"/>
      <c r="B13" s="8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 x14ac:dyDescent="0.25">
      <c r="A14" s="1"/>
      <c r="B14" s="8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 x14ac:dyDescent="0.25">
      <c r="A15" s="1"/>
      <c r="B15" s="8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 x14ac:dyDescent="0.25">
      <c r="A16" s="1"/>
      <c r="B16" s="8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 x14ac:dyDescent="0.25">
      <c r="A17" s="1"/>
      <c r="B17" s="8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 x14ac:dyDescent="0.25">
      <c r="A18" s="1"/>
      <c r="B18" s="8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 x14ac:dyDescent="0.25">
      <c r="A19" s="1"/>
      <c r="B19" s="8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 x14ac:dyDescent="0.25">
      <c r="A20" s="1"/>
      <c r="B20" s="8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 x14ac:dyDescent="0.25">
      <c r="A21" s="1"/>
      <c r="B21" s="8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 x14ac:dyDescent="0.25">
      <c r="A22" s="1"/>
      <c r="B22" s="8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 x14ac:dyDescent="0.25">
      <c r="A23" s="1"/>
      <c r="B23" s="8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 x14ac:dyDescent="0.25">
      <c r="A24" s="1"/>
      <c r="B24" s="8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 x14ac:dyDescent="0.25">
      <c r="A25" s="1"/>
      <c r="B25" s="8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 x14ac:dyDescent="0.25">
      <c r="A26" s="1"/>
      <c r="B26" s="8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 x14ac:dyDescent="0.25">
      <c r="A27" s="1"/>
      <c r="B27" s="8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 x14ac:dyDescent="0.25">
      <c r="A28" s="1"/>
      <c r="B28" s="8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 x14ac:dyDescent="0.25">
      <c r="A29" s="1"/>
      <c r="B29" s="8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 x14ac:dyDescent="0.25">
      <c r="A30" s="1"/>
      <c r="B30" s="8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 sheet="1" objects="1" scenarios="1" selectLockedCells="1"/>
  <mergeCells count="3">
    <mergeCell ref="K2:Q3"/>
    <mergeCell ref="K5:Q6"/>
    <mergeCell ref="B2:B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03ED-9DE4-45CC-9C24-BFCEFEB540B8}">
  <sheetPr codeName="Sheet3"/>
  <dimension ref="A1:AG100"/>
  <sheetViews>
    <sheetView workbookViewId="0">
      <selection activeCell="G21" sqref="G21"/>
    </sheetView>
  </sheetViews>
  <sheetFormatPr defaultRowHeight="15" x14ac:dyDescent="0.25"/>
  <cols>
    <col min="10" max="10" width="12" bestFit="1" customWidth="1"/>
    <col min="11" max="11" width="10.28515625" bestFit="1" customWidth="1"/>
    <col min="12" max="12" width="9.42578125" bestFit="1" customWidth="1"/>
    <col min="13" max="13" width="9.5703125" bestFit="1" customWidth="1"/>
    <col min="17" max="17" width="13.140625" bestFit="1" customWidth="1"/>
  </cols>
  <sheetData>
    <row r="1" spans="1:33" x14ac:dyDescent="0.25">
      <c r="A1" t="str">
        <f>EmpiricVANCOMYCINcalc!E27</f>
        <v/>
      </c>
      <c r="B1" t="str">
        <f>EmpiricVANCOMYCINcalc!E26</f>
        <v/>
      </c>
      <c r="C1">
        <v>8</v>
      </c>
      <c r="D1">
        <v>12</v>
      </c>
      <c r="E1">
        <v>18</v>
      </c>
      <c r="F1">
        <v>24</v>
      </c>
      <c r="G1">
        <v>36</v>
      </c>
      <c r="H1">
        <v>48</v>
      </c>
      <c r="J1" t="s">
        <v>90</v>
      </c>
      <c r="K1" t="s">
        <v>91</v>
      </c>
      <c r="L1" t="s">
        <v>92</v>
      </c>
      <c r="M1" t="s">
        <v>93</v>
      </c>
      <c r="N1" s="12" t="s">
        <v>85</v>
      </c>
      <c r="O1" s="13" t="s">
        <v>75</v>
      </c>
      <c r="P1" s="13" t="s">
        <v>86</v>
      </c>
      <c r="Q1" s="13" t="s">
        <v>230</v>
      </c>
      <c r="R1" s="13" t="s">
        <v>96</v>
      </c>
      <c r="S1" t="s">
        <v>87</v>
      </c>
      <c r="T1" t="s">
        <v>88</v>
      </c>
      <c r="U1" t="s">
        <v>89</v>
      </c>
      <c r="Y1" t="s">
        <v>97</v>
      </c>
      <c r="Z1" t="s">
        <v>94</v>
      </c>
      <c r="AA1" s="5" t="e">
        <f>MIN(M2:M46)</f>
        <v>#VALUE!</v>
      </c>
      <c r="AB1" t="e">
        <f>VLOOKUP(AA1,M:R,3,FALSE)</f>
        <v>#VALUE!</v>
      </c>
      <c r="AC1" t="e">
        <f>VLOOKUP(AA1,M:R,4,FALSE)</f>
        <v>#VALUE!</v>
      </c>
      <c r="AD1" t="e">
        <f>VLOOKUP(AA1,M:R,5,FALSE)</f>
        <v>#VALUE!</v>
      </c>
      <c r="AE1" t="e">
        <f>VLOOKUP(AA1,M:U,7,FALSE)</f>
        <v>#VALUE!</v>
      </c>
      <c r="AF1" t="e">
        <f>VLOOKUP(AA1,M:U,8,FALSE)</f>
        <v>#VALUE!</v>
      </c>
      <c r="AG1" t="e">
        <f>VLOOKUP(AA1,M:U,9,FALSE)</f>
        <v>#VALUE!</v>
      </c>
    </row>
    <row r="2" spans="1:33" x14ac:dyDescent="0.25">
      <c r="A2">
        <v>-0.5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J2" t="e">
        <f>((S2-EmpiricVANCOMYCINcalc!$T$11)^2)/EmpiricVANCOMYCINcalc!$T$11</f>
        <v>#VALUE!</v>
      </c>
      <c r="K2" t="e">
        <f>((T2-EmpiricVANCOMYCINcalc!$T$12)^2)/EmpiricVANCOMYCINcalc!$T$12</f>
        <v>#VALUE!</v>
      </c>
      <c r="L2" t="e">
        <f>((U2-EmpiricVANCOMYCINcalc!$T$10)^2)/EmpiricVANCOMYCINcalc!$T$10</f>
        <v>#VALUE!</v>
      </c>
      <c r="M2" s="5" t="e">
        <f>IF(Q2="Yes",SUM(J2:L2),"")</f>
        <v>#VALUE!</v>
      </c>
      <c r="N2" s="12">
        <f t="shared" ref="N2:N33" si="0">O2*24/P2</f>
        <v>250</v>
      </c>
      <c r="O2" s="14">
        <v>500</v>
      </c>
      <c r="P2" s="12">
        <v>48</v>
      </c>
      <c r="Q2" s="12" t="str">
        <f>VLOOKUP(P2,DLsheet!$I$15:$J$20,2,FALSE)</f>
        <v>Yes</v>
      </c>
      <c r="R2" s="14">
        <f>VLOOKUP(O2,DLsheet!$E$13:$F$21,2,FALSE)</f>
        <v>0.5</v>
      </c>
      <c r="S2" t="e">
        <f t="shared" ref="S2:S33" si="1">O2/$B$1/(1-EXP(-$A$1*P2))</f>
        <v>#VALUE!</v>
      </c>
      <c r="T2" t="e">
        <f t="shared" ref="T2:T33" si="2">S2*EXP(-$A$1*(P2-R2))</f>
        <v>#VALUE!</v>
      </c>
      <c r="U2" t="e">
        <f t="shared" ref="U2:U33" si="3">O2*24/P2/$B$1/$A$1</f>
        <v>#VALUE!</v>
      </c>
      <c r="Y2" t="s">
        <v>98</v>
      </c>
      <c r="Z2" t="s">
        <v>95</v>
      </c>
      <c r="AA2" t="e">
        <f>SMALL(M2:M46,2)</f>
        <v>#VALUE!</v>
      </c>
      <c r="AB2" t="e">
        <f>VLOOKUP(AA2,M:R,3,FALSE)</f>
        <v>#VALUE!</v>
      </c>
      <c r="AC2" t="e">
        <f>VLOOKUP(AA2,M:R,4,FALSE)</f>
        <v>#VALUE!</v>
      </c>
      <c r="AD2" t="e">
        <f>VLOOKUP(AA2,M:R,5,FALSE)</f>
        <v>#VALUE!</v>
      </c>
      <c r="AE2" t="e">
        <f>VLOOKUP(AA2,M:U,7,FALSE)</f>
        <v>#VALUE!</v>
      </c>
      <c r="AF2" t="e">
        <f>VLOOKUP(AA2,M:U,8,FALSE)</f>
        <v>#VALUE!</v>
      </c>
      <c r="AG2" t="e">
        <f>VLOOKUP(AA2,M:U,9,FALSE)</f>
        <v>#VALUE!</v>
      </c>
    </row>
    <row r="3" spans="1:33" x14ac:dyDescent="0.25">
      <c r="A3">
        <v>0</v>
      </c>
      <c r="B3" t="e">
        <f>HLOOKUP(EmpiricVANCOMYCINcalc!$Q$27,EmpWorksheet!$C$1:$H$100,I3,FALSE)</f>
        <v>#VALUE!</v>
      </c>
      <c r="C3" t="e">
        <f>EmpiricVANCOMYCINcalc!Q26/EmpiricVANCOMYCINcalc!E26</f>
        <v>#VALUE!</v>
      </c>
      <c r="D3" t="e">
        <f>EmpiricVANCOMYCINcalc!Q26/EmpiricVANCOMYCINcalc!E26</f>
        <v>#VALUE!</v>
      </c>
      <c r="E3" t="e">
        <f>EmpiricVANCOMYCINcalc!Q26/EmpiricVANCOMYCINcalc!E26</f>
        <v>#VALUE!</v>
      </c>
      <c r="F3" t="e">
        <f>EmpiricVANCOMYCINcalc!Q26/EmpiricVANCOMYCINcalc!E26</f>
        <v>#VALUE!</v>
      </c>
      <c r="G3" t="e">
        <f>EmpiricVANCOMYCINcalc!Q26/EmpiricVANCOMYCINcalc!E26</f>
        <v>#VALUE!</v>
      </c>
      <c r="H3" t="e">
        <f>EmpiricVANCOMYCINcalc!Q26/EmpiricVANCOMYCINcalc!E26</f>
        <v>#VALUE!</v>
      </c>
      <c r="I3">
        <v>3</v>
      </c>
      <c r="J3" t="e">
        <f>((S3-EmpiricVANCOMYCINcalc!$T$11)^2)/EmpiricVANCOMYCINcalc!$T$11</f>
        <v>#VALUE!</v>
      </c>
      <c r="K3" t="e">
        <f>((T3-EmpiricVANCOMYCINcalc!$T$12)^2)/EmpiricVANCOMYCINcalc!$T$12</f>
        <v>#VALUE!</v>
      </c>
      <c r="L3" t="e">
        <f>((U3-EmpiricVANCOMYCINcalc!$T$10)^2)/EmpiricVANCOMYCINcalc!$T$10</f>
        <v>#VALUE!</v>
      </c>
      <c r="M3" s="5" t="str">
        <f t="shared" ref="M3:M54" si="4">IF(Q3="Yes",SUM(J3:L3),"")</f>
        <v/>
      </c>
      <c r="N3" s="12">
        <f t="shared" si="0"/>
        <v>333.33333333333331</v>
      </c>
      <c r="O3" s="14">
        <v>500</v>
      </c>
      <c r="P3" s="12">
        <v>36</v>
      </c>
      <c r="Q3" s="12" t="str">
        <f>VLOOKUP(P3,DLsheet!$I$15:$J$20,2,FALSE)</f>
        <v>No</v>
      </c>
      <c r="R3" s="14">
        <f>VLOOKUP(O3,DLsheet!$E$13:$F$21,2,FALSE)</f>
        <v>0.5</v>
      </c>
      <c r="S3" t="e">
        <f t="shared" si="1"/>
        <v>#VALUE!</v>
      </c>
      <c r="T3" t="e">
        <f t="shared" si="2"/>
        <v>#VALUE!</v>
      </c>
      <c r="U3" t="e">
        <f t="shared" si="3"/>
        <v>#VALUE!</v>
      </c>
      <c r="Y3" t="s">
        <v>100</v>
      </c>
      <c r="Z3" t="s">
        <v>101</v>
      </c>
      <c r="AA3" t="e">
        <f>SMALL(M2:M46,3)</f>
        <v>#VALUE!</v>
      </c>
      <c r="AB3" t="e">
        <f>VLOOKUP(AA3,M:R,3,FALSE)</f>
        <v>#VALUE!</v>
      </c>
      <c r="AC3" t="e">
        <f>VLOOKUP(AA3,M:R,4,FALSE)</f>
        <v>#VALUE!</v>
      </c>
      <c r="AD3" t="e">
        <f>VLOOKUP(AA3,M:R,5,FALSE)</f>
        <v>#VALUE!</v>
      </c>
      <c r="AE3" t="e">
        <f>VLOOKUP(AA3,M:U,7,FALSE)</f>
        <v>#VALUE!</v>
      </c>
      <c r="AF3" t="e">
        <f>VLOOKUP(AA3,M:U,8,FALSE)</f>
        <v>#VALUE!</v>
      </c>
      <c r="AG3" t="e">
        <f>VLOOKUP(AA3,M:U,9,FALSE)</f>
        <v>#VALUE!</v>
      </c>
    </row>
    <row r="4" spans="1:33" x14ac:dyDescent="0.25">
      <c r="A4">
        <v>0.5</v>
      </c>
      <c r="B4" t="e">
        <f>HLOOKUP(EmpiricVANCOMYCINcalc!$Q$27,EmpWorksheet!$C$1:$H$100,I4,FALSE)</f>
        <v>#VALUE!</v>
      </c>
      <c r="C4" t="e">
        <f>$C$3*EXP(-$A$1*EmpWorksheet!$A4)</f>
        <v>#VALUE!</v>
      </c>
      <c r="D4" t="e">
        <f>$C$3*EXP(-$A$1*EmpWorksheet!$A4)</f>
        <v>#VALUE!</v>
      </c>
      <c r="E4" t="e">
        <f>$C$3*EXP(-$A$1*EmpWorksheet!$A4)</f>
        <v>#VALUE!</v>
      </c>
      <c r="F4" t="e">
        <f>$C$3*EXP(-$A$1*EmpWorksheet!$A4)</f>
        <v>#VALUE!</v>
      </c>
      <c r="G4" t="e">
        <f>$C$3*EXP(-$A$1*EmpWorksheet!$A4)</f>
        <v>#VALUE!</v>
      </c>
      <c r="H4" t="e">
        <f>$C$3*EXP(-$A$1*EmpWorksheet!$A4)</f>
        <v>#VALUE!</v>
      </c>
      <c r="I4">
        <v>4</v>
      </c>
      <c r="J4" t="e">
        <f>((S4-EmpiricVANCOMYCINcalc!$T$11)^2)/EmpiricVANCOMYCINcalc!$T$11</f>
        <v>#VALUE!</v>
      </c>
      <c r="K4" t="e">
        <f>((T4-EmpiricVANCOMYCINcalc!$T$12)^2)/EmpiricVANCOMYCINcalc!$T$12</f>
        <v>#VALUE!</v>
      </c>
      <c r="L4" t="e">
        <f>((U4-EmpiricVANCOMYCINcalc!$T$10)^2)/EmpiricVANCOMYCINcalc!$T$10</f>
        <v>#VALUE!</v>
      </c>
      <c r="M4" s="5" t="e">
        <f t="shared" si="4"/>
        <v>#VALUE!</v>
      </c>
      <c r="N4" s="12">
        <f t="shared" si="0"/>
        <v>375</v>
      </c>
      <c r="O4" s="12">
        <v>750</v>
      </c>
      <c r="P4" s="12">
        <v>48</v>
      </c>
      <c r="Q4" s="12" t="str">
        <f>VLOOKUP(P4,DLsheet!$I$15:$J$20,2,FALSE)</f>
        <v>Yes</v>
      </c>
      <c r="R4" s="14">
        <f>VLOOKUP(O4,DLsheet!$E$13:$F$21,2,FALSE)</f>
        <v>1</v>
      </c>
      <c r="S4" t="e">
        <f t="shared" si="1"/>
        <v>#VALUE!</v>
      </c>
      <c r="T4" t="e">
        <f t="shared" si="2"/>
        <v>#VALUE!</v>
      </c>
      <c r="U4" t="e">
        <f t="shared" si="3"/>
        <v>#VALUE!</v>
      </c>
    </row>
    <row r="5" spans="1:33" x14ac:dyDescent="0.25">
      <c r="A5">
        <v>1</v>
      </c>
      <c r="B5" t="e">
        <f>HLOOKUP(EmpiricVANCOMYCINcalc!$Q$27,EmpWorksheet!$C$1:$H$100,I5,FALSE)</f>
        <v>#VALUE!</v>
      </c>
      <c r="C5" t="e">
        <f>$C$3*EXP(-$A$1*EmpWorksheet!$A5)</f>
        <v>#VALUE!</v>
      </c>
      <c r="D5" t="e">
        <f>$C$3*EXP(-$A$1*EmpWorksheet!$A5)</f>
        <v>#VALUE!</v>
      </c>
      <c r="E5" t="e">
        <f>$C$3*EXP(-$A$1*EmpWorksheet!$A5)</f>
        <v>#VALUE!</v>
      </c>
      <c r="F5" t="e">
        <f>$C$3*EXP(-$A$1*EmpWorksheet!$A5)</f>
        <v>#VALUE!</v>
      </c>
      <c r="G5" t="e">
        <f>$C$3*EXP(-$A$1*EmpWorksheet!$A5)</f>
        <v>#VALUE!</v>
      </c>
      <c r="H5" t="e">
        <f>$C$3*EXP(-$A$1*EmpWorksheet!$A5)</f>
        <v>#VALUE!</v>
      </c>
      <c r="I5">
        <v>5</v>
      </c>
      <c r="J5" t="e">
        <f>((S5-EmpiricVANCOMYCINcalc!$T$11)^2)/EmpiricVANCOMYCINcalc!$T$11</f>
        <v>#VALUE!</v>
      </c>
      <c r="K5" t="e">
        <f>((T5-EmpiricVANCOMYCINcalc!$T$12)^2)/EmpiricVANCOMYCINcalc!$T$12</f>
        <v>#VALUE!</v>
      </c>
      <c r="L5" t="e">
        <f>((U5-EmpiricVANCOMYCINcalc!$T$10)^2)/EmpiricVANCOMYCINcalc!$T$10</f>
        <v>#VALUE!</v>
      </c>
      <c r="M5" s="5" t="e">
        <f t="shared" si="4"/>
        <v>#VALUE!</v>
      </c>
      <c r="N5" s="12">
        <f t="shared" si="0"/>
        <v>500</v>
      </c>
      <c r="O5" s="14">
        <v>500</v>
      </c>
      <c r="P5" s="12">
        <v>24</v>
      </c>
      <c r="Q5" s="12" t="str">
        <f>VLOOKUP(P5,DLsheet!$I$15:$J$20,2,FALSE)</f>
        <v>Yes</v>
      </c>
      <c r="R5" s="14">
        <f>VLOOKUP(O5,DLsheet!$E$13:$F$21,2,FALSE)</f>
        <v>0.5</v>
      </c>
      <c r="S5" t="e">
        <f t="shared" si="1"/>
        <v>#VALUE!</v>
      </c>
      <c r="T5" t="e">
        <f t="shared" si="2"/>
        <v>#VALUE!</v>
      </c>
      <c r="U5" t="e">
        <f t="shared" si="3"/>
        <v>#VALUE!</v>
      </c>
    </row>
    <row r="6" spans="1:33" x14ac:dyDescent="0.25">
      <c r="A6">
        <v>1.5</v>
      </c>
      <c r="B6" t="e">
        <f>HLOOKUP(EmpiricVANCOMYCINcalc!$Q$27,EmpWorksheet!$C$1:$H$100,I6,FALSE)</f>
        <v>#VALUE!</v>
      </c>
      <c r="C6" t="e">
        <f>$C$3*EXP(-$A$1*EmpWorksheet!$A6)</f>
        <v>#VALUE!</v>
      </c>
      <c r="D6" t="e">
        <f>$C$3*EXP(-$A$1*EmpWorksheet!$A6)</f>
        <v>#VALUE!</v>
      </c>
      <c r="E6" t="e">
        <f>$C$3*EXP(-$A$1*EmpWorksheet!$A6)</f>
        <v>#VALUE!</v>
      </c>
      <c r="F6" t="e">
        <f>$C$3*EXP(-$A$1*EmpWorksheet!$A6)</f>
        <v>#VALUE!</v>
      </c>
      <c r="G6" t="e">
        <f>$C$3*EXP(-$A$1*EmpWorksheet!$A6)</f>
        <v>#VALUE!</v>
      </c>
      <c r="H6" t="e">
        <f>$C$3*EXP(-$A$1*EmpWorksheet!$A6)</f>
        <v>#VALUE!</v>
      </c>
      <c r="I6">
        <v>6</v>
      </c>
      <c r="J6" t="e">
        <f>((S6-EmpiricVANCOMYCINcalc!$T$11)^2)/EmpiricVANCOMYCINcalc!$T$11</f>
        <v>#VALUE!</v>
      </c>
      <c r="K6" t="e">
        <f>((T6-EmpiricVANCOMYCINcalc!$T$12)^2)/EmpiricVANCOMYCINcalc!$T$12</f>
        <v>#VALUE!</v>
      </c>
      <c r="L6" t="e">
        <f>((U6-EmpiricVANCOMYCINcalc!$T$10)^2)/EmpiricVANCOMYCINcalc!$T$10</f>
        <v>#VALUE!</v>
      </c>
      <c r="M6" s="5" t="str">
        <f t="shared" si="4"/>
        <v/>
      </c>
      <c r="N6" s="12">
        <f t="shared" si="0"/>
        <v>500</v>
      </c>
      <c r="O6" s="12">
        <v>750</v>
      </c>
      <c r="P6" s="12">
        <v>36</v>
      </c>
      <c r="Q6" s="12" t="str">
        <f>VLOOKUP(P6,DLsheet!$I$15:$J$20,2,FALSE)</f>
        <v>No</v>
      </c>
      <c r="R6" s="14">
        <f>VLOOKUP(O6,DLsheet!$E$13:$F$21,2,FALSE)</f>
        <v>1</v>
      </c>
      <c r="S6" t="e">
        <f t="shared" si="1"/>
        <v>#VALUE!</v>
      </c>
      <c r="T6" t="e">
        <f t="shared" si="2"/>
        <v>#VALUE!</v>
      </c>
      <c r="U6" t="e">
        <f t="shared" si="3"/>
        <v>#VALUE!</v>
      </c>
    </row>
    <row r="7" spans="1:33" x14ac:dyDescent="0.25">
      <c r="A7">
        <v>2</v>
      </c>
      <c r="B7" t="e">
        <f>HLOOKUP(EmpiricVANCOMYCINcalc!$Q$27,EmpWorksheet!$C$1:$H$100,I7,FALSE)</f>
        <v>#VALUE!</v>
      </c>
      <c r="C7" t="e">
        <f>$C$3*EXP(-$A$1*EmpWorksheet!$A7)</f>
        <v>#VALUE!</v>
      </c>
      <c r="D7" t="e">
        <f>$C$3*EXP(-$A$1*EmpWorksheet!$A7)</f>
        <v>#VALUE!</v>
      </c>
      <c r="E7" t="e">
        <f>$C$3*EXP(-$A$1*EmpWorksheet!$A7)</f>
        <v>#VALUE!</v>
      </c>
      <c r="F7" t="e">
        <f>$C$3*EXP(-$A$1*EmpWorksheet!$A7)</f>
        <v>#VALUE!</v>
      </c>
      <c r="G7" t="e">
        <f>$C$3*EXP(-$A$1*EmpWorksheet!$A7)</f>
        <v>#VALUE!</v>
      </c>
      <c r="H7" t="e">
        <f>$C$3*EXP(-$A$1*EmpWorksheet!$A7)</f>
        <v>#VALUE!</v>
      </c>
      <c r="I7">
        <v>7</v>
      </c>
      <c r="J7" t="e">
        <f>((S7-EmpiricVANCOMYCINcalc!$T$11)^2)/EmpiricVANCOMYCINcalc!$T$11</f>
        <v>#VALUE!</v>
      </c>
      <c r="K7" t="e">
        <f>((T7-EmpiricVANCOMYCINcalc!$T$12)^2)/EmpiricVANCOMYCINcalc!$T$12</f>
        <v>#VALUE!</v>
      </c>
      <c r="L7" t="e">
        <f>((U7-EmpiricVANCOMYCINcalc!$T$10)^2)/EmpiricVANCOMYCINcalc!$T$10</f>
        <v>#VALUE!</v>
      </c>
      <c r="M7" s="5" t="e">
        <f t="shared" si="4"/>
        <v>#VALUE!</v>
      </c>
      <c r="N7" s="12">
        <f t="shared" si="0"/>
        <v>500</v>
      </c>
      <c r="O7" s="12">
        <v>1000</v>
      </c>
      <c r="P7" s="12">
        <v>48</v>
      </c>
      <c r="Q7" s="12" t="str">
        <f>VLOOKUP(P7,DLsheet!$I$15:$J$20,2,FALSE)</f>
        <v>Yes</v>
      </c>
      <c r="R7" s="14">
        <f>VLOOKUP(O7,DLsheet!$E$13:$F$21,2,FALSE)</f>
        <v>1</v>
      </c>
      <c r="S7" t="e">
        <f t="shared" si="1"/>
        <v>#VALUE!</v>
      </c>
      <c r="T7" t="e">
        <f t="shared" si="2"/>
        <v>#VALUE!</v>
      </c>
      <c r="U7" t="e">
        <f t="shared" si="3"/>
        <v>#VALUE!</v>
      </c>
    </row>
    <row r="8" spans="1:33" x14ac:dyDescent="0.25">
      <c r="A8">
        <v>2.5</v>
      </c>
      <c r="B8" t="e">
        <f>HLOOKUP(EmpiricVANCOMYCINcalc!$Q$27,EmpWorksheet!$C$1:$H$100,I8,FALSE)</f>
        <v>#VALUE!</v>
      </c>
      <c r="C8" t="e">
        <f>$C$3*EXP(-$A$1*EmpWorksheet!$A8)</f>
        <v>#VALUE!</v>
      </c>
      <c r="D8" t="e">
        <f>$C$3*EXP(-$A$1*EmpWorksheet!$A8)</f>
        <v>#VALUE!</v>
      </c>
      <c r="E8" t="e">
        <f>$C$3*EXP(-$A$1*EmpWorksheet!$A8)</f>
        <v>#VALUE!</v>
      </c>
      <c r="F8" t="e">
        <f>$C$3*EXP(-$A$1*EmpWorksheet!$A8)</f>
        <v>#VALUE!</v>
      </c>
      <c r="G8" t="e">
        <f>$C$3*EXP(-$A$1*EmpWorksheet!$A8)</f>
        <v>#VALUE!</v>
      </c>
      <c r="H8" t="e">
        <f>$C$3*EXP(-$A$1*EmpWorksheet!$A8)</f>
        <v>#VALUE!</v>
      </c>
      <c r="I8">
        <v>8</v>
      </c>
      <c r="J8" t="e">
        <f>((S8-EmpiricVANCOMYCINcalc!$T$11)^2)/EmpiricVANCOMYCINcalc!$T$11</f>
        <v>#VALUE!</v>
      </c>
      <c r="K8" t="e">
        <f>((T8-EmpiricVANCOMYCINcalc!$T$12)^2)/EmpiricVANCOMYCINcalc!$T$12</f>
        <v>#VALUE!</v>
      </c>
      <c r="L8" t="e">
        <f>((U8-EmpiricVANCOMYCINcalc!$T$10)^2)/EmpiricVANCOMYCINcalc!$T$10</f>
        <v>#VALUE!</v>
      </c>
      <c r="M8" s="5" t="e">
        <f t="shared" si="4"/>
        <v>#VALUE!</v>
      </c>
      <c r="N8" s="12">
        <f t="shared" si="0"/>
        <v>625</v>
      </c>
      <c r="O8" s="12">
        <v>1250</v>
      </c>
      <c r="P8" s="12">
        <v>48</v>
      </c>
      <c r="Q8" s="12" t="str">
        <f>VLOOKUP(P8,DLsheet!$I$15:$J$20,2,FALSE)</f>
        <v>Yes</v>
      </c>
      <c r="R8" s="14">
        <f>VLOOKUP(O8,DLsheet!$E$13:$F$21,2,FALSE)</f>
        <v>1.5</v>
      </c>
      <c r="S8" t="e">
        <f t="shared" si="1"/>
        <v>#VALUE!</v>
      </c>
      <c r="T8" t="e">
        <f t="shared" si="2"/>
        <v>#VALUE!</v>
      </c>
      <c r="U8" t="e">
        <f t="shared" si="3"/>
        <v>#VALUE!</v>
      </c>
    </row>
    <row r="9" spans="1:33" x14ac:dyDescent="0.25">
      <c r="A9">
        <v>3</v>
      </c>
      <c r="B9" t="e">
        <f>HLOOKUP(EmpiricVANCOMYCINcalc!$Q$27,EmpWorksheet!$C$1:$H$100,I9,FALSE)</f>
        <v>#VALUE!</v>
      </c>
      <c r="C9" t="e">
        <f>$C$3*EXP(-$A$1*EmpWorksheet!$A9)</f>
        <v>#VALUE!</v>
      </c>
      <c r="D9" t="e">
        <f>$C$3*EXP(-$A$1*EmpWorksheet!$A9)</f>
        <v>#VALUE!</v>
      </c>
      <c r="E9" t="e">
        <f>$C$3*EXP(-$A$1*EmpWorksheet!$A9)</f>
        <v>#VALUE!</v>
      </c>
      <c r="F9" t="e">
        <f>$C$3*EXP(-$A$1*EmpWorksheet!$A9)</f>
        <v>#VALUE!</v>
      </c>
      <c r="G9" t="e">
        <f>$C$3*EXP(-$A$1*EmpWorksheet!$A9)</f>
        <v>#VALUE!</v>
      </c>
      <c r="H9" t="e">
        <f>$C$3*EXP(-$A$1*EmpWorksheet!$A9)</f>
        <v>#VALUE!</v>
      </c>
      <c r="I9">
        <v>9</v>
      </c>
      <c r="J9" t="e">
        <f>((S9-EmpiricVANCOMYCINcalc!$T$11)^2)/EmpiricVANCOMYCINcalc!$T$11</f>
        <v>#VALUE!</v>
      </c>
      <c r="K9" t="e">
        <f>((T9-EmpiricVANCOMYCINcalc!$T$12)^2)/EmpiricVANCOMYCINcalc!$T$12</f>
        <v>#VALUE!</v>
      </c>
      <c r="L9" t="e">
        <f>((U9-EmpiricVANCOMYCINcalc!$T$10)^2)/EmpiricVANCOMYCINcalc!$T$10</f>
        <v>#VALUE!</v>
      </c>
      <c r="M9" s="5" t="str">
        <f t="shared" si="4"/>
        <v/>
      </c>
      <c r="N9" s="12">
        <f t="shared" si="0"/>
        <v>666.66666666666663</v>
      </c>
      <c r="O9" s="12">
        <v>500</v>
      </c>
      <c r="P9" s="12">
        <v>18</v>
      </c>
      <c r="Q9" s="12" t="str">
        <f>VLOOKUP(P9,DLsheet!$I$15:$J$20,2,FALSE)</f>
        <v>No</v>
      </c>
      <c r="R9" s="14">
        <f>VLOOKUP(O9,DLsheet!$E$13:$F$21,2,FALSE)</f>
        <v>0.5</v>
      </c>
      <c r="S9" t="e">
        <f t="shared" si="1"/>
        <v>#VALUE!</v>
      </c>
      <c r="T9" t="e">
        <f t="shared" si="2"/>
        <v>#VALUE!</v>
      </c>
      <c r="U9" t="e">
        <f t="shared" si="3"/>
        <v>#VALUE!</v>
      </c>
    </row>
    <row r="10" spans="1:33" x14ac:dyDescent="0.25">
      <c r="A10">
        <v>3.5</v>
      </c>
      <c r="B10" t="e">
        <f>HLOOKUP(EmpiricVANCOMYCINcalc!$Q$27,EmpWorksheet!$C$1:$H$100,I10,FALSE)</f>
        <v>#VALUE!</v>
      </c>
      <c r="C10" t="e">
        <f>$C$3*EXP(-$A$1*EmpWorksheet!$A10)</f>
        <v>#VALUE!</v>
      </c>
      <c r="D10" t="e">
        <f>$C$3*EXP(-$A$1*EmpWorksheet!$A10)</f>
        <v>#VALUE!</v>
      </c>
      <c r="E10" t="e">
        <f>$C$3*EXP(-$A$1*EmpWorksheet!$A10)</f>
        <v>#VALUE!</v>
      </c>
      <c r="F10" t="e">
        <f>$C$3*EXP(-$A$1*EmpWorksheet!$A10)</f>
        <v>#VALUE!</v>
      </c>
      <c r="G10" t="e">
        <f>$C$3*EXP(-$A$1*EmpWorksheet!$A10)</f>
        <v>#VALUE!</v>
      </c>
      <c r="H10" t="e">
        <f>$C$3*EXP(-$A$1*EmpWorksheet!$A10)</f>
        <v>#VALUE!</v>
      </c>
      <c r="I10">
        <v>10</v>
      </c>
      <c r="J10" t="e">
        <f>((S10-EmpiricVANCOMYCINcalc!$T$11)^2)/EmpiricVANCOMYCINcalc!$T$11</f>
        <v>#VALUE!</v>
      </c>
      <c r="K10" t="e">
        <f>((T10-EmpiricVANCOMYCINcalc!$T$12)^2)/EmpiricVANCOMYCINcalc!$T$12</f>
        <v>#VALUE!</v>
      </c>
      <c r="L10" t="e">
        <f>((U10-EmpiricVANCOMYCINcalc!$T$10)^2)/EmpiricVANCOMYCINcalc!$T$10</f>
        <v>#VALUE!</v>
      </c>
      <c r="M10" s="5" t="str">
        <f t="shared" si="4"/>
        <v/>
      </c>
      <c r="N10" s="12">
        <f t="shared" si="0"/>
        <v>666.66666666666663</v>
      </c>
      <c r="O10" s="12">
        <v>1000</v>
      </c>
      <c r="P10" s="12">
        <v>36</v>
      </c>
      <c r="Q10" s="12" t="str">
        <f>VLOOKUP(P10,DLsheet!$I$15:$J$20,2,FALSE)</f>
        <v>No</v>
      </c>
      <c r="R10" s="14">
        <f>VLOOKUP(O10,DLsheet!$E$13:$F$21,2,FALSE)</f>
        <v>1</v>
      </c>
      <c r="S10" t="e">
        <f t="shared" si="1"/>
        <v>#VALUE!</v>
      </c>
      <c r="T10" t="e">
        <f t="shared" si="2"/>
        <v>#VALUE!</v>
      </c>
      <c r="U10" t="e">
        <f t="shared" si="3"/>
        <v>#VALUE!</v>
      </c>
    </row>
    <row r="11" spans="1:33" x14ac:dyDescent="0.25">
      <c r="A11">
        <v>4</v>
      </c>
      <c r="B11" t="e">
        <f>HLOOKUP(EmpiricVANCOMYCINcalc!$Q$27,EmpWorksheet!$C$1:$H$100,I11,FALSE)</f>
        <v>#VALUE!</v>
      </c>
      <c r="C11" t="e">
        <f>$C$3*EXP(-$A$1*EmpWorksheet!$A11)</f>
        <v>#VALUE!</v>
      </c>
      <c r="D11" t="e">
        <f>$C$3*EXP(-$A$1*EmpWorksheet!$A11)</f>
        <v>#VALUE!</v>
      </c>
      <c r="E11" t="e">
        <f>$C$3*EXP(-$A$1*EmpWorksheet!$A11)</f>
        <v>#VALUE!</v>
      </c>
      <c r="F11" t="e">
        <f>$C$3*EXP(-$A$1*EmpWorksheet!$A11)</f>
        <v>#VALUE!</v>
      </c>
      <c r="G11" t="e">
        <f>$C$3*EXP(-$A$1*EmpWorksheet!$A11)</f>
        <v>#VALUE!</v>
      </c>
      <c r="H11" t="e">
        <f>$C$3*EXP(-$A$1*EmpWorksheet!$A11)</f>
        <v>#VALUE!</v>
      </c>
      <c r="I11">
        <v>11</v>
      </c>
      <c r="J11" t="e">
        <f>((S11-EmpiricVANCOMYCINcalc!$T$11)^2)/EmpiricVANCOMYCINcalc!$T$11</f>
        <v>#VALUE!</v>
      </c>
      <c r="K11" t="e">
        <f>((T11-EmpiricVANCOMYCINcalc!$T$12)^2)/EmpiricVANCOMYCINcalc!$T$12</f>
        <v>#VALUE!</v>
      </c>
      <c r="L11" t="e">
        <f>((U11-EmpiricVANCOMYCINcalc!$T$10)^2)/EmpiricVANCOMYCINcalc!$T$10</f>
        <v>#VALUE!</v>
      </c>
      <c r="M11" s="5" t="e">
        <f t="shared" si="4"/>
        <v>#VALUE!</v>
      </c>
      <c r="N11" s="12">
        <f t="shared" si="0"/>
        <v>750</v>
      </c>
      <c r="O11" s="12">
        <v>750</v>
      </c>
      <c r="P11" s="12">
        <v>24</v>
      </c>
      <c r="Q11" s="12" t="str">
        <f>VLOOKUP(P11,DLsheet!$I$15:$J$20,2,FALSE)</f>
        <v>Yes</v>
      </c>
      <c r="R11" s="14">
        <f>VLOOKUP(O11,DLsheet!$E$13:$F$21,2,FALSE)</f>
        <v>1</v>
      </c>
      <c r="S11" t="e">
        <f t="shared" si="1"/>
        <v>#VALUE!</v>
      </c>
      <c r="T11" t="e">
        <f t="shared" si="2"/>
        <v>#VALUE!</v>
      </c>
      <c r="U11" t="e">
        <f t="shared" si="3"/>
        <v>#VALUE!</v>
      </c>
    </row>
    <row r="12" spans="1:33" x14ac:dyDescent="0.25">
      <c r="A12">
        <v>4.5</v>
      </c>
      <c r="B12" t="e">
        <f>HLOOKUP(EmpiricVANCOMYCINcalc!$Q$27,EmpWorksheet!$C$1:$H$100,I12,FALSE)</f>
        <v>#VALUE!</v>
      </c>
      <c r="C12" t="e">
        <f>$C$3*EXP(-$A$1*EmpWorksheet!$A12)</f>
        <v>#VALUE!</v>
      </c>
      <c r="D12" t="e">
        <f>$C$3*EXP(-$A$1*EmpWorksheet!$A12)</f>
        <v>#VALUE!</v>
      </c>
      <c r="E12" t="e">
        <f>$C$3*EXP(-$A$1*EmpWorksheet!$A12)</f>
        <v>#VALUE!</v>
      </c>
      <c r="F12" t="e">
        <f>$C$3*EXP(-$A$1*EmpWorksheet!$A12)</f>
        <v>#VALUE!</v>
      </c>
      <c r="G12" t="e">
        <f>$C$3*EXP(-$A$1*EmpWorksheet!$A12)</f>
        <v>#VALUE!</v>
      </c>
      <c r="H12" t="e">
        <f>$C$3*EXP(-$A$1*EmpWorksheet!$A12)</f>
        <v>#VALUE!</v>
      </c>
      <c r="I12">
        <v>12</v>
      </c>
      <c r="J12" t="e">
        <f>((S12-EmpiricVANCOMYCINcalc!$T$11)^2)/EmpiricVANCOMYCINcalc!$T$11</f>
        <v>#VALUE!</v>
      </c>
      <c r="K12" t="e">
        <f>((T12-EmpiricVANCOMYCINcalc!$T$12)^2)/EmpiricVANCOMYCINcalc!$T$12</f>
        <v>#VALUE!</v>
      </c>
      <c r="L12" t="e">
        <f>((U12-EmpiricVANCOMYCINcalc!$T$10)^2)/EmpiricVANCOMYCINcalc!$T$10</f>
        <v>#VALUE!</v>
      </c>
      <c r="M12" s="5" t="e">
        <f t="shared" si="4"/>
        <v>#VALUE!</v>
      </c>
      <c r="N12" s="12">
        <f t="shared" si="0"/>
        <v>750</v>
      </c>
      <c r="O12" s="12">
        <v>1500</v>
      </c>
      <c r="P12" s="12">
        <v>48</v>
      </c>
      <c r="Q12" s="12" t="str">
        <f>VLOOKUP(P12,DLsheet!$I$15:$J$20,2,FALSE)</f>
        <v>Yes</v>
      </c>
      <c r="R12" s="14">
        <f>VLOOKUP(O12,DLsheet!$E$13:$F$21,2,FALSE)</f>
        <v>1.5</v>
      </c>
      <c r="S12" t="e">
        <f t="shared" si="1"/>
        <v>#VALUE!</v>
      </c>
      <c r="T12" t="e">
        <f t="shared" si="2"/>
        <v>#VALUE!</v>
      </c>
      <c r="U12" t="e">
        <f t="shared" si="3"/>
        <v>#VALUE!</v>
      </c>
    </row>
    <row r="13" spans="1:33" x14ac:dyDescent="0.25">
      <c r="A13">
        <v>5</v>
      </c>
      <c r="B13" t="e">
        <f>HLOOKUP(EmpiricVANCOMYCINcalc!$Q$27,EmpWorksheet!$C$1:$H$100,I13,FALSE)</f>
        <v>#VALUE!</v>
      </c>
      <c r="C13" t="e">
        <f>$C$3*EXP(-$A$1*EmpWorksheet!$A13)</f>
        <v>#VALUE!</v>
      </c>
      <c r="D13" t="e">
        <f>$C$3*EXP(-$A$1*EmpWorksheet!$A13)</f>
        <v>#VALUE!</v>
      </c>
      <c r="E13" t="e">
        <f>$C$3*EXP(-$A$1*EmpWorksheet!$A13)</f>
        <v>#VALUE!</v>
      </c>
      <c r="F13" t="e">
        <f>$C$3*EXP(-$A$1*EmpWorksheet!$A13)</f>
        <v>#VALUE!</v>
      </c>
      <c r="G13" t="e">
        <f>$C$3*EXP(-$A$1*EmpWorksheet!$A13)</f>
        <v>#VALUE!</v>
      </c>
      <c r="H13" t="e">
        <f>$C$3*EXP(-$A$1*EmpWorksheet!$A13)</f>
        <v>#VALUE!</v>
      </c>
      <c r="I13">
        <v>13</v>
      </c>
      <c r="J13" t="e">
        <f>((S13-EmpiricVANCOMYCINcalc!$T$11)^2)/EmpiricVANCOMYCINcalc!$T$11</f>
        <v>#VALUE!</v>
      </c>
      <c r="K13" t="e">
        <f>((T13-EmpiricVANCOMYCINcalc!$T$12)^2)/EmpiricVANCOMYCINcalc!$T$12</f>
        <v>#VALUE!</v>
      </c>
      <c r="L13" t="e">
        <f>((U13-EmpiricVANCOMYCINcalc!$T$10)^2)/EmpiricVANCOMYCINcalc!$T$10</f>
        <v>#VALUE!</v>
      </c>
      <c r="M13" s="5" t="str">
        <f t="shared" si="4"/>
        <v/>
      </c>
      <c r="N13" s="12">
        <f t="shared" si="0"/>
        <v>833.33333333333337</v>
      </c>
      <c r="O13" s="12">
        <v>1250</v>
      </c>
      <c r="P13" s="12">
        <v>36</v>
      </c>
      <c r="Q13" s="12" t="str">
        <f>VLOOKUP(P13,DLsheet!$I$15:$J$20,2,FALSE)</f>
        <v>No</v>
      </c>
      <c r="R13" s="14">
        <f>VLOOKUP(O13,DLsheet!$E$13:$F$21,2,FALSE)</f>
        <v>1.5</v>
      </c>
      <c r="S13" t="e">
        <f t="shared" si="1"/>
        <v>#VALUE!</v>
      </c>
      <c r="T13" t="e">
        <f t="shared" si="2"/>
        <v>#VALUE!</v>
      </c>
      <c r="U13" t="e">
        <f t="shared" si="3"/>
        <v>#VALUE!</v>
      </c>
    </row>
    <row r="14" spans="1:33" x14ac:dyDescent="0.25">
      <c r="A14">
        <v>5.5</v>
      </c>
      <c r="B14" t="e">
        <f>HLOOKUP(EmpiricVANCOMYCINcalc!$Q$27,EmpWorksheet!$C$1:$H$100,I14,FALSE)</f>
        <v>#VALUE!</v>
      </c>
      <c r="C14" t="e">
        <f>$C$3*EXP(-$A$1*EmpWorksheet!$A14)</f>
        <v>#VALUE!</v>
      </c>
      <c r="D14" t="e">
        <f>$C$3*EXP(-$A$1*EmpWorksheet!$A14)</f>
        <v>#VALUE!</v>
      </c>
      <c r="E14" t="e">
        <f>$C$3*EXP(-$A$1*EmpWorksheet!$A14)</f>
        <v>#VALUE!</v>
      </c>
      <c r="F14" t="e">
        <f>$C$3*EXP(-$A$1*EmpWorksheet!$A14)</f>
        <v>#VALUE!</v>
      </c>
      <c r="G14" t="e">
        <f>$C$3*EXP(-$A$1*EmpWorksheet!$A14)</f>
        <v>#VALUE!</v>
      </c>
      <c r="H14" t="e">
        <f>$C$3*EXP(-$A$1*EmpWorksheet!$A14)</f>
        <v>#VALUE!</v>
      </c>
      <c r="I14">
        <v>14</v>
      </c>
      <c r="J14" t="e">
        <f>((S14-EmpiricVANCOMYCINcalc!$T$11)^2)/EmpiricVANCOMYCINcalc!$T$11</f>
        <v>#VALUE!</v>
      </c>
      <c r="K14" t="e">
        <f>((T14-EmpiricVANCOMYCINcalc!$T$12)^2)/EmpiricVANCOMYCINcalc!$T$12</f>
        <v>#VALUE!</v>
      </c>
      <c r="L14" t="e">
        <f>((U14-EmpiricVANCOMYCINcalc!$T$10)^2)/EmpiricVANCOMYCINcalc!$T$10</f>
        <v>#VALUE!</v>
      </c>
      <c r="M14" s="5" t="e">
        <f t="shared" si="4"/>
        <v>#VALUE!</v>
      </c>
      <c r="N14" s="12">
        <f t="shared" si="0"/>
        <v>875</v>
      </c>
      <c r="O14" s="12">
        <v>1750</v>
      </c>
      <c r="P14" s="12">
        <v>48</v>
      </c>
      <c r="Q14" s="12" t="str">
        <f>VLOOKUP(P14,DLsheet!$I$15:$J$20,2,FALSE)</f>
        <v>Yes</v>
      </c>
      <c r="R14" s="14">
        <f>VLOOKUP(O14,DLsheet!$E$13:$F$21,2,FALSE)</f>
        <v>2</v>
      </c>
      <c r="S14" t="e">
        <f t="shared" si="1"/>
        <v>#VALUE!</v>
      </c>
      <c r="T14" t="e">
        <f t="shared" si="2"/>
        <v>#VALUE!</v>
      </c>
      <c r="U14" t="e">
        <f t="shared" si="3"/>
        <v>#VALUE!</v>
      </c>
    </row>
    <row r="15" spans="1:33" x14ac:dyDescent="0.25">
      <c r="A15">
        <v>6</v>
      </c>
      <c r="B15" t="e">
        <f>HLOOKUP(EmpiricVANCOMYCINcalc!$Q$27,EmpWorksheet!$C$1:$H$100,I15,FALSE)</f>
        <v>#VALUE!</v>
      </c>
      <c r="C15" t="e">
        <f>$C$3*EXP(-$A$1*EmpWorksheet!$A15)</f>
        <v>#VALUE!</v>
      </c>
      <c r="D15" t="e">
        <f>$C$3*EXP(-$A$1*EmpWorksheet!$A15)</f>
        <v>#VALUE!</v>
      </c>
      <c r="E15" t="e">
        <f>$C$3*EXP(-$A$1*EmpWorksheet!$A15)</f>
        <v>#VALUE!</v>
      </c>
      <c r="F15" t="e">
        <f>$C$3*EXP(-$A$1*EmpWorksheet!$A15)</f>
        <v>#VALUE!</v>
      </c>
      <c r="G15" t="e">
        <f>$C$3*EXP(-$A$1*EmpWorksheet!$A15)</f>
        <v>#VALUE!</v>
      </c>
      <c r="H15" t="e">
        <f>$C$3*EXP(-$A$1*EmpWorksheet!$A15)</f>
        <v>#VALUE!</v>
      </c>
      <c r="I15">
        <v>15</v>
      </c>
      <c r="J15" t="e">
        <f>((S15-EmpiricVANCOMYCINcalc!$T$11)^2)/EmpiricVANCOMYCINcalc!$T$11</f>
        <v>#VALUE!</v>
      </c>
      <c r="K15" t="e">
        <f>((T15-EmpiricVANCOMYCINcalc!$T$12)^2)/EmpiricVANCOMYCINcalc!$T$12</f>
        <v>#VALUE!</v>
      </c>
      <c r="L15" t="e">
        <f>((U15-EmpiricVANCOMYCINcalc!$T$10)^2)/EmpiricVANCOMYCINcalc!$T$10</f>
        <v>#VALUE!</v>
      </c>
      <c r="M15" s="5" t="e">
        <f t="shared" si="4"/>
        <v>#VALUE!</v>
      </c>
      <c r="N15" s="12">
        <f t="shared" si="0"/>
        <v>1000</v>
      </c>
      <c r="O15" s="14">
        <v>500</v>
      </c>
      <c r="P15" s="12">
        <v>12</v>
      </c>
      <c r="Q15" s="12" t="str">
        <f>VLOOKUP(P15,DLsheet!$I$15:$J$20,2,FALSE)</f>
        <v>Yes</v>
      </c>
      <c r="R15" s="14">
        <f>VLOOKUP(O15,DLsheet!$E$13:$F$21,2,FALSE)</f>
        <v>0.5</v>
      </c>
      <c r="S15" t="e">
        <f t="shared" si="1"/>
        <v>#VALUE!</v>
      </c>
      <c r="T15" t="e">
        <f t="shared" si="2"/>
        <v>#VALUE!</v>
      </c>
      <c r="U15" t="e">
        <f t="shared" si="3"/>
        <v>#VALUE!</v>
      </c>
    </row>
    <row r="16" spans="1:33" x14ac:dyDescent="0.25">
      <c r="A16">
        <v>6.5</v>
      </c>
      <c r="B16" t="e">
        <f>HLOOKUP(EmpiricVANCOMYCINcalc!$Q$27,EmpWorksheet!$C$1:$H$100,I16,FALSE)</f>
        <v>#VALUE!</v>
      </c>
      <c r="C16" t="e">
        <f>$C$3*EXP(-$A$1*EmpWorksheet!$A16)</f>
        <v>#VALUE!</v>
      </c>
      <c r="D16" t="e">
        <f>$C$3*EXP(-$A$1*EmpWorksheet!$A16)</f>
        <v>#VALUE!</v>
      </c>
      <c r="E16" t="e">
        <f>$C$3*EXP(-$A$1*EmpWorksheet!$A16)</f>
        <v>#VALUE!</v>
      </c>
      <c r="F16" t="e">
        <f>$C$3*EXP(-$A$1*EmpWorksheet!$A16)</f>
        <v>#VALUE!</v>
      </c>
      <c r="G16" t="e">
        <f>$C$3*EXP(-$A$1*EmpWorksheet!$A16)</f>
        <v>#VALUE!</v>
      </c>
      <c r="H16" t="e">
        <f>$C$3*EXP(-$A$1*EmpWorksheet!$A16)</f>
        <v>#VALUE!</v>
      </c>
      <c r="I16">
        <v>16</v>
      </c>
      <c r="J16" t="e">
        <f>((S16-EmpiricVANCOMYCINcalc!$T$11)^2)/EmpiricVANCOMYCINcalc!$T$11</f>
        <v>#VALUE!</v>
      </c>
      <c r="K16" t="e">
        <f>((T16-EmpiricVANCOMYCINcalc!$T$12)^2)/EmpiricVANCOMYCINcalc!$T$12</f>
        <v>#VALUE!</v>
      </c>
      <c r="L16" t="e">
        <f>((U16-EmpiricVANCOMYCINcalc!$T$10)^2)/EmpiricVANCOMYCINcalc!$T$10</f>
        <v>#VALUE!</v>
      </c>
      <c r="M16" s="5" t="str">
        <f t="shared" si="4"/>
        <v/>
      </c>
      <c r="N16" s="12">
        <f t="shared" si="0"/>
        <v>1000</v>
      </c>
      <c r="O16" s="12">
        <v>750</v>
      </c>
      <c r="P16" s="12">
        <v>18</v>
      </c>
      <c r="Q16" s="12" t="str">
        <f>VLOOKUP(P16,DLsheet!$I$15:$J$20,2,FALSE)</f>
        <v>No</v>
      </c>
      <c r="R16" s="14">
        <f>VLOOKUP(O16,DLsheet!$E$13:$F$21,2,FALSE)</f>
        <v>1</v>
      </c>
      <c r="S16" t="e">
        <f t="shared" si="1"/>
        <v>#VALUE!</v>
      </c>
      <c r="T16" t="e">
        <f t="shared" si="2"/>
        <v>#VALUE!</v>
      </c>
      <c r="U16" t="e">
        <f t="shared" si="3"/>
        <v>#VALUE!</v>
      </c>
    </row>
    <row r="17" spans="1:21" x14ac:dyDescent="0.25">
      <c r="A17">
        <v>7</v>
      </c>
      <c r="B17" t="e">
        <f>HLOOKUP(EmpiricVANCOMYCINcalc!$Q$27,EmpWorksheet!$C$1:$H$100,I17,FALSE)</f>
        <v>#VALUE!</v>
      </c>
      <c r="C17" t="e">
        <f>$C$3*EXP(-$A$1*EmpWorksheet!$A17)</f>
        <v>#VALUE!</v>
      </c>
      <c r="D17" t="e">
        <f>$C$3*EXP(-$A$1*EmpWorksheet!$A17)</f>
        <v>#VALUE!</v>
      </c>
      <c r="E17" t="e">
        <f>$C$3*EXP(-$A$1*EmpWorksheet!$A17)</f>
        <v>#VALUE!</v>
      </c>
      <c r="F17" t="e">
        <f>$C$3*EXP(-$A$1*EmpWorksheet!$A17)</f>
        <v>#VALUE!</v>
      </c>
      <c r="G17" t="e">
        <f>$C$3*EXP(-$A$1*EmpWorksheet!$A17)</f>
        <v>#VALUE!</v>
      </c>
      <c r="H17" t="e">
        <f>$C$3*EXP(-$A$1*EmpWorksheet!$A17)</f>
        <v>#VALUE!</v>
      </c>
      <c r="I17">
        <v>17</v>
      </c>
      <c r="J17" t="e">
        <f>((S17-EmpiricVANCOMYCINcalc!$T$11)^2)/EmpiricVANCOMYCINcalc!$T$11</f>
        <v>#VALUE!</v>
      </c>
      <c r="K17" t="e">
        <f>((T17-EmpiricVANCOMYCINcalc!$T$12)^2)/EmpiricVANCOMYCINcalc!$T$12</f>
        <v>#VALUE!</v>
      </c>
      <c r="L17" t="e">
        <f>((U17-EmpiricVANCOMYCINcalc!$T$10)^2)/EmpiricVANCOMYCINcalc!$T$10</f>
        <v>#VALUE!</v>
      </c>
      <c r="M17" s="5" t="e">
        <f t="shared" si="4"/>
        <v>#VALUE!</v>
      </c>
      <c r="N17" s="12">
        <f t="shared" si="0"/>
        <v>1000</v>
      </c>
      <c r="O17" s="12">
        <v>1000</v>
      </c>
      <c r="P17" s="12">
        <v>24</v>
      </c>
      <c r="Q17" s="12" t="str">
        <f>VLOOKUP(P17,DLsheet!$I$15:$J$20,2,FALSE)</f>
        <v>Yes</v>
      </c>
      <c r="R17" s="14">
        <f>VLOOKUP(O17,DLsheet!$E$13:$F$21,2,FALSE)</f>
        <v>1</v>
      </c>
      <c r="S17" t="e">
        <f t="shared" si="1"/>
        <v>#VALUE!</v>
      </c>
      <c r="T17" t="e">
        <f t="shared" si="2"/>
        <v>#VALUE!</v>
      </c>
      <c r="U17" t="e">
        <f t="shared" si="3"/>
        <v>#VALUE!</v>
      </c>
    </row>
    <row r="18" spans="1:21" x14ac:dyDescent="0.25">
      <c r="A18">
        <v>7.5</v>
      </c>
      <c r="B18" t="e">
        <f>HLOOKUP(EmpiricVANCOMYCINcalc!$Q$27,EmpWorksheet!$C$1:$H$100,I18,FALSE)</f>
        <v>#VALUE!</v>
      </c>
      <c r="C18" t="e">
        <f>$C$3*EXP(-$A$1*EmpWorksheet!$A18)</f>
        <v>#VALUE!</v>
      </c>
      <c r="D18" t="e">
        <f>$C$3*EXP(-$A$1*EmpWorksheet!$A18)</f>
        <v>#VALUE!</v>
      </c>
      <c r="E18" t="e">
        <f>$C$3*EXP(-$A$1*EmpWorksheet!$A18)</f>
        <v>#VALUE!</v>
      </c>
      <c r="F18" t="e">
        <f>$C$3*EXP(-$A$1*EmpWorksheet!$A18)</f>
        <v>#VALUE!</v>
      </c>
      <c r="G18" t="e">
        <f>$C$3*EXP(-$A$1*EmpWorksheet!$A18)</f>
        <v>#VALUE!</v>
      </c>
      <c r="H18" t="e">
        <f>$C$3*EXP(-$A$1*EmpWorksheet!$A18)</f>
        <v>#VALUE!</v>
      </c>
      <c r="I18">
        <v>18</v>
      </c>
      <c r="J18" t="e">
        <f>((S18-EmpiricVANCOMYCINcalc!$T$11)^2)/EmpiricVANCOMYCINcalc!$T$11</f>
        <v>#VALUE!</v>
      </c>
      <c r="K18" t="e">
        <f>((T18-EmpiricVANCOMYCINcalc!$T$12)^2)/EmpiricVANCOMYCINcalc!$T$12</f>
        <v>#VALUE!</v>
      </c>
      <c r="L18" t="e">
        <f>((U18-EmpiricVANCOMYCINcalc!$T$10)^2)/EmpiricVANCOMYCINcalc!$T$10</f>
        <v>#VALUE!</v>
      </c>
      <c r="M18" s="5" t="str">
        <f t="shared" si="4"/>
        <v/>
      </c>
      <c r="N18" s="12">
        <f t="shared" si="0"/>
        <v>1000</v>
      </c>
      <c r="O18" s="12">
        <v>1500</v>
      </c>
      <c r="P18" s="12">
        <v>36</v>
      </c>
      <c r="Q18" s="12" t="str">
        <f>VLOOKUP(P18,DLsheet!$I$15:$J$20,2,FALSE)</f>
        <v>No</v>
      </c>
      <c r="R18" s="14">
        <f>VLOOKUP(O18,DLsheet!$E$13:$F$21,2,FALSE)</f>
        <v>1.5</v>
      </c>
      <c r="S18" t="e">
        <f t="shared" si="1"/>
        <v>#VALUE!</v>
      </c>
      <c r="T18" t="e">
        <f t="shared" si="2"/>
        <v>#VALUE!</v>
      </c>
      <c r="U18" t="e">
        <f t="shared" si="3"/>
        <v>#VALUE!</v>
      </c>
    </row>
    <row r="19" spans="1:21" x14ac:dyDescent="0.25">
      <c r="A19">
        <v>8</v>
      </c>
      <c r="B19" t="e">
        <f>HLOOKUP(EmpiricVANCOMYCINcalc!$Q$27,EmpWorksheet!$C$1:$H$100,I19,FALSE)</f>
        <v>#VALUE!</v>
      </c>
      <c r="C19" t="e">
        <f>$C$3*EXP(-$A$1*EmpWorksheet!$A19)</f>
        <v>#VALUE!</v>
      </c>
      <c r="D19" t="e">
        <f>$C$3*EXP(-$A$1*EmpWorksheet!$A19)</f>
        <v>#VALUE!</v>
      </c>
      <c r="E19" t="e">
        <f>$C$3*EXP(-$A$1*EmpWorksheet!$A19)</f>
        <v>#VALUE!</v>
      </c>
      <c r="F19" t="e">
        <f>$C$3*EXP(-$A$1*EmpWorksheet!$A19)</f>
        <v>#VALUE!</v>
      </c>
      <c r="G19" t="e">
        <f>$C$3*EXP(-$A$1*EmpWorksheet!$A19)</f>
        <v>#VALUE!</v>
      </c>
      <c r="H19" t="e">
        <f>$C$3*EXP(-$A$1*EmpWorksheet!$A19)</f>
        <v>#VALUE!</v>
      </c>
      <c r="I19">
        <v>19</v>
      </c>
      <c r="J19" t="e">
        <f>((S19-EmpiricVANCOMYCINcalc!$T$11)^2)/EmpiricVANCOMYCINcalc!$T$11</f>
        <v>#VALUE!</v>
      </c>
      <c r="K19" t="e">
        <f>((T19-EmpiricVANCOMYCINcalc!$T$12)^2)/EmpiricVANCOMYCINcalc!$T$12</f>
        <v>#VALUE!</v>
      </c>
      <c r="L19" t="e">
        <f>((U19-EmpiricVANCOMYCINcalc!$T$10)^2)/EmpiricVANCOMYCINcalc!$T$10</f>
        <v>#VALUE!</v>
      </c>
      <c r="M19" s="5" t="e">
        <f t="shared" si="4"/>
        <v>#VALUE!</v>
      </c>
      <c r="N19" s="12">
        <f t="shared" si="0"/>
        <v>1000</v>
      </c>
      <c r="O19" s="12">
        <v>2000</v>
      </c>
      <c r="P19" s="12">
        <v>48</v>
      </c>
      <c r="Q19" s="12" t="str">
        <f>VLOOKUP(P19,DLsheet!$I$15:$J$20,2,FALSE)</f>
        <v>Yes</v>
      </c>
      <c r="R19" s="14">
        <f>VLOOKUP(O19,DLsheet!$E$13:$F$21,2,FALSE)</f>
        <v>2</v>
      </c>
      <c r="S19" t="e">
        <f t="shared" si="1"/>
        <v>#VALUE!</v>
      </c>
      <c r="T19" t="e">
        <f t="shared" si="2"/>
        <v>#VALUE!</v>
      </c>
      <c r="U19" t="e">
        <f t="shared" si="3"/>
        <v>#VALUE!</v>
      </c>
    </row>
    <row r="20" spans="1:21" x14ac:dyDescent="0.25">
      <c r="A20">
        <v>8.5</v>
      </c>
      <c r="B20" t="e">
        <f>HLOOKUP(EmpiricVANCOMYCINcalc!$Q$27,EmpWorksheet!$C$1:$H$100,I20,FALSE)</f>
        <v>#VALUE!</v>
      </c>
      <c r="C20" t="e">
        <f>C19+C3</f>
        <v>#VALUE!</v>
      </c>
      <c r="D20" t="e">
        <f>$C$3*EXP(-$A$1*EmpWorksheet!$A20)</f>
        <v>#VALUE!</v>
      </c>
      <c r="E20" t="e">
        <f>$C$3*EXP(-$A$1*EmpWorksheet!$A20)</f>
        <v>#VALUE!</v>
      </c>
      <c r="F20" t="e">
        <f>$C$3*EXP(-$A$1*EmpWorksheet!$A20)</f>
        <v>#VALUE!</v>
      </c>
      <c r="G20" t="e">
        <f>$C$3*EXP(-$A$1*EmpWorksheet!$A20)</f>
        <v>#VALUE!</v>
      </c>
      <c r="H20" t="e">
        <f>$C$3*EXP(-$A$1*EmpWorksheet!$A20)</f>
        <v>#VALUE!</v>
      </c>
      <c r="I20">
        <v>20</v>
      </c>
      <c r="J20" t="e">
        <f>((S20-EmpiricVANCOMYCINcalc!$T$11)^2)/EmpiricVANCOMYCINcalc!$T$11</f>
        <v>#VALUE!</v>
      </c>
      <c r="K20" t="e">
        <f>((T20-EmpiricVANCOMYCINcalc!$T$12)^2)/EmpiricVANCOMYCINcalc!$T$12</f>
        <v>#VALUE!</v>
      </c>
      <c r="L20" t="e">
        <f>((U20-EmpiricVANCOMYCINcalc!$T$10)^2)/EmpiricVANCOMYCINcalc!$T$10</f>
        <v>#VALUE!</v>
      </c>
      <c r="M20" s="5" t="e">
        <f t="shared" si="4"/>
        <v>#VALUE!</v>
      </c>
      <c r="N20" s="12">
        <f t="shared" si="0"/>
        <v>1125</v>
      </c>
      <c r="O20" s="12">
        <v>2250</v>
      </c>
      <c r="P20" s="12">
        <v>48</v>
      </c>
      <c r="Q20" s="12" t="str">
        <f>VLOOKUP(P20,DLsheet!$I$15:$J$20,2,FALSE)</f>
        <v>Yes</v>
      </c>
      <c r="R20" s="14">
        <f>VLOOKUP(O20,DLsheet!$E$13:$F$21,2,FALSE)</f>
        <v>2.5</v>
      </c>
      <c r="S20" t="e">
        <f t="shared" si="1"/>
        <v>#VALUE!</v>
      </c>
      <c r="T20" t="e">
        <f t="shared" si="2"/>
        <v>#VALUE!</v>
      </c>
      <c r="U20" t="e">
        <f t="shared" si="3"/>
        <v>#VALUE!</v>
      </c>
    </row>
    <row r="21" spans="1:21" x14ac:dyDescent="0.25">
      <c r="A21">
        <v>9</v>
      </c>
      <c r="B21" t="e">
        <f>HLOOKUP(EmpiricVANCOMYCINcalc!$Q$27,EmpWorksheet!$C$1:$H$100,I21,FALSE)</f>
        <v>#VALUE!</v>
      </c>
      <c r="C21" t="e">
        <f t="shared" ref="C21:C35" si="5">$C$20*EXP(-$A$1*(A21-8.5))</f>
        <v>#VALUE!</v>
      </c>
      <c r="D21" t="e">
        <f>$C$3*EXP(-$A$1*EmpWorksheet!$A21)</f>
        <v>#VALUE!</v>
      </c>
      <c r="E21" t="e">
        <f>$C$3*EXP(-$A$1*EmpWorksheet!$A21)</f>
        <v>#VALUE!</v>
      </c>
      <c r="F21" t="e">
        <f>$C$3*EXP(-$A$1*EmpWorksheet!$A21)</f>
        <v>#VALUE!</v>
      </c>
      <c r="G21" t="e">
        <f>$C$3*EXP(-$A$1*EmpWorksheet!$A21)</f>
        <v>#VALUE!</v>
      </c>
      <c r="H21" t="e">
        <f>$C$3*EXP(-$A$1*EmpWorksheet!$A21)</f>
        <v>#VALUE!</v>
      </c>
      <c r="I21">
        <v>21</v>
      </c>
      <c r="J21" t="e">
        <f>((S21-EmpiricVANCOMYCINcalc!$T$11)^2)/EmpiricVANCOMYCINcalc!$T$11</f>
        <v>#VALUE!</v>
      </c>
      <c r="K21" t="e">
        <f>((T21-EmpiricVANCOMYCINcalc!$T$12)^2)/EmpiricVANCOMYCINcalc!$T$12</f>
        <v>#VALUE!</v>
      </c>
      <c r="L21" t="e">
        <f>((U21-EmpiricVANCOMYCINcalc!$T$10)^2)/EmpiricVANCOMYCINcalc!$T$10</f>
        <v>#VALUE!</v>
      </c>
      <c r="M21" s="5" t="str">
        <f t="shared" si="4"/>
        <v/>
      </c>
      <c r="N21" s="12">
        <f t="shared" si="0"/>
        <v>1166.6666666666667</v>
      </c>
      <c r="O21" s="12">
        <v>1750</v>
      </c>
      <c r="P21" s="12">
        <v>36</v>
      </c>
      <c r="Q21" s="12" t="str">
        <f>VLOOKUP(P21,DLsheet!$I$15:$J$20,2,FALSE)</f>
        <v>No</v>
      </c>
      <c r="R21" s="14">
        <f>VLOOKUP(O21,DLsheet!$E$13:$F$21,2,FALSE)</f>
        <v>2</v>
      </c>
      <c r="S21" t="e">
        <f t="shared" si="1"/>
        <v>#VALUE!</v>
      </c>
      <c r="T21" t="e">
        <f t="shared" si="2"/>
        <v>#VALUE!</v>
      </c>
      <c r="U21" t="e">
        <f t="shared" si="3"/>
        <v>#VALUE!</v>
      </c>
    </row>
    <row r="22" spans="1:21" x14ac:dyDescent="0.25">
      <c r="A22">
        <v>9.5</v>
      </c>
      <c r="B22" t="e">
        <f>HLOOKUP(EmpiricVANCOMYCINcalc!$Q$27,EmpWorksheet!$C$1:$H$100,I22,FALSE)</f>
        <v>#VALUE!</v>
      </c>
      <c r="C22" t="e">
        <f t="shared" si="5"/>
        <v>#VALUE!</v>
      </c>
      <c r="D22" t="e">
        <f>$C$3*EXP(-$A$1*EmpWorksheet!$A22)</f>
        <v>#VALUE!</v>
      </c>
      <c r="E22" t="e">
        <f>$C$3*EXP(-$A$1*EmpWorksheet!$A22)</f>
        <v>#VALUE!</v>
      </c>
      <c r="F22" t="e">
        <f>$C$3*EXP(-$A$1*EmpWorksheet!$A22)</f>
        <v>#VALUE!</v>
      </c>
      <c r="G22" t="e">
        <f>$C$3*EXP(-$A$1*EmpWorksheet!$A22)</f>
        <v>#VALUE!</v>
      </c>
      <c r="H22" t="e">
        <f>$C$3*EXP(-$A$1*EmpWorksheet!$A22)</f>
        <v>#VALUE!</v>
      </c>
      <c r="I22">
        <v>22</v>
      </c>
      <c r="J22" t="e">
        <f>((S22-EmpiricVANCOMYCINcalc!$T$11)^2)/EmpiricVANCOMYCINcalc!$T$11</f>
        <v>#VALUE!</v>
      </c>
      <c r="K22" t="e">
        <f>((T22-EmpiricVANCOMYCINcalc!$T$12)^2)/EmpiricVANCOMYCINcalc!$T$12</f>
        <v>#VALUE!</v>
      </c>
      <c r="L22" t="e">
        <f>((U22-EmpiricVANCOMYCINcalc!$T$10)^2)/EmpiricVANCOMYCINcalc!$T$10</f>
        <v>#VALUE!</v>
      </c>
      <c r="M22" s="5" t="e">
        <f t="shared" si="4"/>
        <v>#VALUE!</v>
      </c>
      <c r="N22" s="12">
        <f t="shared" si="0"/>
        <v>1250</v>
      </c>
      <c r="O22" s="12">
        <v>1250</v>
      </c>
      <c r="P22" s="12">
        <v>24</v>
      </c>
      <c r="Q22" s="12" t="str">
        <f>VLOOKUP(P22,DLsheet!$I$15:$J$20,2,FALSE)</f>
        <v>Yes</v>
      </c>
      <c r="R22" s="14">
        <f>VLOOKUP(O22,DLsheet!$E$13:$F$21,2,FALSE)</f>
        <v>1.5</v>
      </c>
      <c r="S22" t="e">
        <f t="shared" si="1"/>
        <v>#VALUE!</v>
      </c>
      <c r="T22" t="e">
        <f t="shared" si="2"/>
        <v>#VALUE!</v>
      </c>
      <c r="U22" t="e">
        <f t="shared" si="3"/>
        <v>#VALUE!</v>
      </c>
    </row>
    <row r="23" spans="1:21" x14ac:dyDescent="0.25">
      <c r="A23">
        <v>10</v>
      </c>
      <c r="B23" t="e">
        <f>HLOOKUP(EmpiricVANCOMYCINcalc!$Q$27,EmpWorksheet!$C$1:$H$100,I23,FALSE)</f>
        <v>#VALUE!</v>
      </c>
      <c r="C23" t="e">
        <f t="shared" si="5"/>
        <v>#VALUE!</v>
      </c>
      <c r="D23" t="e">
        <f>$C$3*EXP(-$A$1*EmpWorksheet!$A23)</f>
        <v>#VALUE!</v>
      </c>
      <c r="E23" t="e">
        <f>$C$3*EXP(-$A$1*EmpWorksheet!$A23)</f>
        <v>#VALUE!</v>
      </c>
      <c r="F23" t="e">
        <f>$C$3*EXP(-$A$1*EmpWorksheet!$A23)</f>
        <v>#VALUE!</v>
      </c>
      <c r="G23" t="e">
        <f>$C$3*EXP(-$A$1*EmpWorksheet!$A23)</f>
        <v>#VALUE!</v>
      </c>
      <c r="H23" t="e">
        <f>$C$3*EXP(-$A$1*EmpWorksheet!$A23)</f>
        <v>#VALUE!</v>
      </c>
      <c r="I23">
        <v>23</v>
      </c>
      <c r="J23" t="e">
        <f>((S23-EmpiricVANCOMYCINcalc!$T$11)^2)/EmpiricVANCOMYCINcalc!$T$11</f>
        <v>#VALUE!</v>
      </c>
      <c r="K23" t="e">
        <f>((T23-EmpiricVANCOMYCINcalc!$T$12)^2)/EmpiricVANCOMYCINcalc!$T$12</f>
        <v>#VALUE!</v>
      </c>
      <c r="L23" t="e">
        <f>((U23-EmpiricVANCOMYCINcalc!$T$10)^2)/EmpiricVANCOMYCINcalc!$T$10</f>
        <v>#VALUE!</v>
      </c>
      <c r="M23" s="5" t="e">
        <f t="shared" si="4"/>
        <v>#VALUE!</v>
      </c>
      <c r="N23" s="12">
        <f t="shared" si="0"/>
        <v>1250</v>
      </c>
      <c r="O23" s="12">
        <v>2500</v>
      </c>
      <c r="P23" s="12">
        <v>48</v>
      </c>
      <c r="Q23" s="12" t="str">
        <f>VLOOKUP(P23,DLsheet!$I$15:$J$20,2,FALSE)</f>
        <v>Yes</v>
      </c>
      <c r="R23" s="14">
        <f>VLOOKUP(O23,DLsheet!$E$13:$F$21,2,FALSE)</f>
        <v>2.5</v>
      </c>
      <c r="S23" t="e">
        <f t="shared" si="1"/>
        <v>#VALUE!</v>
      </c>
      <c r="T23" t="e">
        <f t="shared" si="2"/>
        <v>#VALUE!</v>
      </c>
      <c r="U23" t="e">
        <f t="shared" si="3"/>
        <v>#VALUE!</v>
      </c>
    </row>
    <row r="24" spans="1:21" x14ac:dyDescent="0.25">
      <c r="A24">
        <v>10.5</v>
      </c>
      <c r="B24" t="e">
        <f>HLOOKUP(EmpiricVANCOMYCINcalc!$Q$27,EmpWorksheet!$C$1:$H$100,I24,FALSE)</f>
        <v>#VALUE!</v>
      </c>
      <c r="C24" t="e">
        <f t="shared" si="5"/>
        <v>#VALUE!</v>
      </c>
      <c r="D24" t="e">
        <f>$C$3*EXP(-$A$1*EmpWorksheet!$A24)</f>
        <v>#VALUE!</v>
      </c>
      <c r="E24" t="e">
        <f>$C$3*EXP(-$A$1*EmpWorksheet!$A24)</f>
        <v>#VALUE!</v>
      </c>
      <c r="F24" t="e">
        <f>$C$3*EXP(-$A$1*EmpWorksheet!$A24)</f>
        <v>#VALUE!</v>
      </c>
      <c r="G24" t="e">
        <f>$C$3*EXP(-$A$1*EmpWorksheet!$A24)</f>
        <v>#VALUE!</v>
      </c>
      <c r="H24" t="e">
        <f>$C$3*EXP(-$A$1*EmpWorksheet!$A24)</f>
        <v>#VALUE!</v>
      </c>
      <c r="I24">
        <v>24</v>
      </c>
      <c r="J24" t="e">
        <f>((S24-EmpiricVANCOMYCINcalc!$T$11)^2)/EmpiricVANCOMYCINcalc!$T$11</f>
        <v>#VALUE!</v>
      </c>
      <c r="K24" t="e">
        <f>((T24-EmpiricVANCOMYCINcalc!$T$12)^2)/EmpiricVANCOMYCINcalc!$T$12</f>
        <v>#VALUE!</v>
      </c>
      <c r="L24" t="e">
        <f>((U24-EmpiricVANCOMYCINcalc!$T$10)^2)/EmpiricVANCOMYCINcalc!$T$10</f>
        <v>#VALUE!</v>
      </c>
      <c r="M24" s="5" t="str">
        <f t="shared" si="4"/>
        <v/>
      </c>
      <c r="N24" s="12">
        <f t="shared" si="0"/>
        <v>1333.3333333333333</v>
      </c>
      <c r="O24" s="12">
        <v>1000</v>
      </c>
      <c r="P24" s="12">
        <v>18</v>
      </c>
      <c r="Q24" s="12" t="str">
        <f>VLOOKUP(P24,DLsheet!$I$15:$J$20,2,FALSE)</f>
        <v>No</v>
      </c>
      <c r="R24" s="14">
        <f>VLOOKUP(O24,DLsheet!$E$13:$F$21,2,FALSE)</f>
        <v>1</v>
      </c>
      <c r="S24" t="e">
        <f t="shared" si="1"/>
        <v>#VALUE!</v>
      </c>
      <c r="T24" t="e">
        <f t="shared" si="2"/>
        <v>#VALUE!</v>
      </c>
      <c r="U24" t="e">
        <f t="shared" si="3"/>
        <v>#VALUE!</v>
      </c>
    </row>
    <row r="25" spans="1:21" x14ac:dyDescent="0.25">
      <c r="A25">
        <v>11</v>
      </c>
      <c r="B25" t="e">
        <f>HLOOKUP(EmpiricVANCOMYCINcalc!$Q$27,EmpWorksheet!$C$1:$H$100,I25,FALSE)</f>
        <v>#VALUE!</v>
      </c>
      <c r="C25" t="e">
        <f t="shared" si="5"/>
        <v>#VALUE!</v>
      </c>
      <c r="D25" t="e">
        <f>$C$3*EXP(-$A$1*EmpWorksheet!$A25)</f>
        <v>#VALUE!</v>
      </c>
      <c r="E25" t="e">
        <f>$C$3*EXP(-$A$1*EmpWorksheet!$A25)</f>
        <v>#VALUE!</v>
      </c>
      <c r="F25" t="e">
        <f>$C$3*EXP(-$A$1*EmpWorksheet!$A25)</f>
        <v>#VALUE!</v>
      </c>
      <c r="G25" t="e">
        <f>$C$3*EXP(-$A$1*EmpWorksheet!$A25)</f>
        <v>#VALUE!</v>
      </c>
      <c r="H25" t="e">
        <f>$C$3*EXP(-$A$1*EmpWorksheet!$A25)</f>
        <v>#VALUE!</v>
      </c>
      <c r="I25">
        <v>25</v>
      </c>
      <c r="J25" t="e">
        <f>((S25-EmpiricVANCOMYCINcalc!$T$11)^2)/EmpiricVANCOMYCINcalc!$T$11</f>
        <v>#VALUE!</v>
      </c>
      <c r="K25" t="e">
        <f>((T25-EmpiricVANCOMYCINcalc!$T$12)^2)/EmpiricVANCOMYCINcalc!$T$12</f>
        <v>#VALUE!</v>
      </c>
      <c r="L25" t="e">
        <f>((U25-EmpiricVANCOMYCINcalc!$T$10)^2)/EmpiricVANCOMYCINcalc!$T$10</f>
        <v>#VALUE!</v>
      </c>
      <c r="M25" s="5" t="str">
        <f t="shared" si="4"/>
        <v/>
      </c>
      <c r="N25" s="12">
        <f t="shared" si="0"/>
        <v>1333.3333333333333</v>
      </c>
      <c r="O25" s="12">
        <v>2000</v>
      </c>
      <c r="P25" s="12">
        <v>36</v>
      </c>
      <c r="Q25" s="12" t="str">
        <f>VLOOKUP(P25,DLsheet!$I$15:$J$20,2,FALSE)</f>
        <v>No</v>
      </c>
      <c r="R25" s="14">
        <f>VLOOKUP(O25,DLsheet!$E$13:$F$21,2,FALSE)</f>
        <v>2</v>
      </c>
      <c r="S25" t="e">
        <f t="shared" si="1"/>
        <v>#VALUE!</v>
      </c>
      <c r="T25" t="e">
        <f t="shared" si="2"/>
        <v>#VALUE!</v>
      </c>
      <c r="U25" t="e">
        <f t="shared" si="3"/>
        <v>#VALUE!</v>
      </c>
    </row>
    <row r="26" spans="1:21" x14ac:dyDescent="0.25">
      <c r="A26">
        <v>11.5</v>
      </c>
      <c r="B26" t="e">
        <f>HLOOKUP(EmpiricVANCOMYCINcalc!$Q$27,EmpWorksheet!$C$1:$H$100,I26,FALSE)</f>
        <v>#VALUE!</v>
      </c>
      <c r="C26" t="e">
        <f t="shared" si="5"/>
        <v>#VALUE!</v>
      </c>
      <c r="D26" t="e">
        <f>$C$3*EXP(-$A$1*EmpWorksheet!$A26)</f>
        <v>#VALUE!</v>
      </c>
      <c r="E26" t="e">
        <f>$C$3*EXP(-$A$1*EmpWorksheet!$A26)</f>
        <v>#VALUE!</v>
      </c>
      <c r="F26" t="e">
        <f>$C$3*EXP(-$A$1*EmpWorksheet!$A26)</f>
        <v>#VALUE!</v>
      </c>
      <c r="G26" t="e">
        <f>$C$3*EXP(-$A$1*EmpWorksheet!$A26)</f>
        <v>#VALUE!</v>
      </c>
      <c r="H26" t="e">
        <f>$C$3*EXP(-$A$1*EmpWorksheet!$A26)</f>
        <v>#VALUE!</v>
      </c>
      <c r="I26">
        <v>26</v>
      </c>
      <c r="J26" t="e">
        <f>((S26-EmpiricVANCOMYCINcalc!$T$11)^2)/EmpiricVANCOMYCINcalc!$T$11</f>
        <v>#VALUE!</v>
      </c>
      <c r="K26" t="e">
        <f>((T26-EmpiricVANCOMYCINcalc!$T$12)^2)/EmpiricVANCOMYCINcalc!$T$12</f>
        <v>#VALUE!</v>
      </c>
      <c r="L26" t="e">
        <f>((U26-EmpiricVANCOMYCINcalc!$T$10)^2)/EmpiricVANCOMYCINcalc!$T$10</f>
        <v>#VALUE!</v>
      </c>
      <c r="M26" s="5" t="e">
        <f t="shared" si="4"/>
        <v>#VALUE!</v>
      </c>
      <c r="N26" s="12">
        <f t="shared" si="0"/>
        <v>1500</v>
      </c>
      <c r="O26" s="14">
        <v>500</v>
      </c>
      <c r="P26" s="12">
        <v>8</v>
      </c>
      <c r="Q26" s="12" t="str">
        <f>VLOOKUP(P26,DLsheet!$I$15:$J$20,2,FALSE)</f>
        <v>Yes</v>
      </c>
      <c r="R26" s="14">
        <f>VLOOKUP(O26,DLsheet!$E$13:$F$21,2,FALSE)</f>
        <v>0.5</v>
      </c>
      <c r="S26" t="e">
        <f t="shared" si="1"/>
        <v>#VALUE!</v>
      </c>
      <c r="T26" t="e">
        <f t="shared" si="2"/>
        <v>#VALUE!</v>
      </c>
      <c r="U26" t="e">
        <f t="shared" si="3"/>
        <v>#VALUE!</v>
      </c>
    </row>
    <row r="27" spans="1:21" x14ac:dyDescent="0.25">
      <c r="A27">
        <v>12</v>
      </c>
      <c r="B27" t="e">
        <f>HLOOKUP(EmpiricVANCOMYCINcalc!$Q$27,EmpWorksheet!$C$1:$H$100,I27,FALSE)</f>
        <v>#VALUE!</v>
      </c>
      <c r="C27" t="e">
        <f t="shared" si="5"/>
        <v>#VALUE!</v>
      </c>
      <c r="D27" t="e">
        <f>$C$3*EXP(-$A$1*EmpWorksheet!$A27)</f>
        <v>#VALUE!</v>
      </c>
      <c r="E27" t="e">
        <f>$C$3*EXP(-$A$1*EmpWorksheet!$A27)</f>
        <v>#VALUE!</v>
      </c>
      <c r="F27" t="e">
        <f>$C$3*EXP(-$A$1*EmpWorksheet!$A27)</f>
        <v>#VALUE!</v>
      </c>
      <c r="G27" t="e">
        <f>$C$3*EXP(-$A$1*EmpWorksheet!$A27)</f>
        <v>#VALUE!</v>
      </c>
      <c r="H27" t="e">
        <f>$C$3*EXP(-$A$1*EmpWorksheet!$A27)</f>
        <v>#VALUE!</v>
      </c>
      <c r="I27">
        <v>27</v>
      </c>
      <c r="J27" t="e">
        <f>((S27-EmpiricVANCOMYCINcalc!$T$11)^2)/EmpiricVANCOMYCINcalc!$T$11</f>
        <v>#VALUE!</v>
      </c>
      <c r="K27" t="e">
        <f>((T27-EmpiricVANCOMYCINcalc!$T$12)^2)/EmpiricVANCOMYCINcalc!$T$12</f>
        <v>#VALUE!</v>
      </c>
      <c r="L27" t="e">
        <f>((U27-EmpiricVANCOMYCINcalc!$T$10)^2)/EmpiricVANCOMYCINcalc!$T$10</f>
        <v>#VALUE!</v>
      </c>
      <c r="M27" s="5" t="e">
        <f t="shared" si="4"/>
        <v>#VALUE!</v>
      </c>
      <c r="N27" s="12">
        <f t="shared" si="0"/>
        <v>1500</v>
      </c>
      <c r="O27" s="12">
        <v>750</v>
      </c>
      <c r="P27" s="12">
        <v>12</v>
      </c>
      <c r="Q27" s="12" t="str">
        <f>VLOOKUP(P27,DLsheet!$I$15:$J$20,2,FALSE)</f>
        <v>Yes</v>
      </c>
      <c r="R27" s="14">
        <f>VLOOKUP(O27,DLsheet!$E$13:$F$21,2,FALSE)</f>
        <v>1</v>
      </c>
      <c r="S27" t="e">
        <f t="shared" si="1"/>
        <v>#VALUE!</v>
      </c>
      <c r="T27" t="e">
        <f t="shared" si="2"/>
        <v>#VALUE!</v>
      </c>
      <c r="U27" t="e">
        <f t="shared" si="3"/>
        <v>#VALUE!</v>
      </c>
    </row>
    <row r="28" spans="1:21" x14ac:dyDescent="0.25">
      <c r="A28">
        <v>12.5</v>
      </c>
      <c r="B28" t="e">
        <f>HLOOKUP(EmpiricVANCOMYCINcalc!$Q$27,EmpWorksheet!$C$1:$H$100,I28,FALSE)</f>
        <v>#VALUE!</v>
      </c>
      <c r="C28" t="e">
        <f t="shared" si="5"/>
        <v>#VALUE!</v>
      </c>
      <c r="D28" t="e">
        <f>D27+D3</f>
        <v>#VALUE!</v>
      </c>
      <c r="E28" t="e">
        <f>$C$3*EXP(-$A$1*EmpWorksheet!$A28)</f>
        <v>#VALUE!</v>
      </c>
      <c r="F28" t="e">
        <f>$C$3*EXP(-$A$1*EmpWorksheet!$A28)</f>
        <v>#VALUE!</v>
      </c>
      <c r="G28" t="e">
        <f>$C$3*EXP(-$A$1*EmpWorksheet!$A28)</f>
        <v>#VALUE!</v>
      </c>
      <c r="H28" t="e">
        <f>$C$3*EXP(-$A$1*EmpWorksheet!$A28)</f>
        <v>#VALUE!</v>
      </c>
      <c r="I28">
        <v>28</v>
      </c>
      <c r="J28" t="e">
        <f>((S28-EmpiricVANCOMYCINcalc!$T$11)^2)/EmpiricVANCOMYCINcalc!$T$11</f>
        <v>#VALUE!</v>
      </c>
      <c r="K28" t="e">
        <f>((T28-EmpiricVANCOMYCINcalc!$T$12)^2)/EmpiricVANCOMYCINcalc!$T$12</f>
        <v>#VALUE!</v>
      </c>
      <c r="L28" t="e">
        <f>((U28-EmpiricVANCOMYCINcalc!$T$10)^2)/EmpiricVANCOMYCINcalc!$T$10</f>
        <v>#VALUE!</v>
      </c>
      <c r="M28" s="5" t="e">
        <f t="shared" si="4"/>
        <v>#VALUE!</v>
      </c>
      <c r="N28" s="12">
        <f t="shared" si="0"/>
        <v>1500</v>
      </c>
      <c r="O28" s="12">
        <v>1500</v>
      </c>
      <c r="P28" s="12">
        <v>24</v>
      </c>
      <c r="Q28" s="12" t="str">
        <f>VLOOKUP(P28,DLsheet!$I$15:$J$20,2,FALSE)</f>
        <v>Yes</v>
      </c>
      <c r="R28" s="14">
        <f>VLOOKUP(O28,DLsheet!$E$13:$F$21,2,FALSE)</f>
        <v>1.5</v>
      </c>
      <c r="S28" t="e">
        <f t="shared" si="1"/>
        <v>#VALUE!</v>
      </c>
      <c r="T28" t="e">
        <f t="shared" si="2"/>
        <v>#VALUE!</v>
      </c>
      <c r="U28" t="e">
        <f t="shared" si="3"/>
        <v>#VALUE!</v>
      </c>
    </row>
    <row r="29" spans="1:21" x14ac:dyDescent="0.25">
      <c r="A29">
        <v>13</v>
      </c>
      <c r="B29" t="e">
        <f>HLOOKUP(EmpiricVANCOMYCINcalc!$Q$27,EmpWorksheet!$C$1:$H$100,I29,FALSE)</f>
        <v>#VALUE!</v>
      </c>
      <c r="C29" t="e">
        <f t="shared" si="5"/>
        <v>#VALUE!</v>
      </c>
      <c r="D29" t="e">
        <f t="shared" ref="D29:D51" si="6">$D$28*EXP(-$A$1*(A29-12.5))</f>
        <v>#VALUE!</v>
      </c>
      <c r="E29" t="e">
        <f>$C$3*EXP(-$A$1*EmpWorksheet!$A29)</f>
        <v>#VALUE!</v>
      </c>
      <c r="F29" t="e">
        <f>$C$3*EXP(-$A$1*EmpWorksheet!$A29)</f>
        <v>#VALUE!</v>
      </c>
      <c r="G29" t="e">
        <f>$C$3*EXP(-$A$1*EmpWorksheet!$A29)</f>
        <v>#VALUE!</v>
      </c>
      <c r="H29" t="e">
        <f>$C$3*EXP(-$A$1*EmpWorksheet!$A29)</f>
        <v>#VALUE!</v>
      </c>
      <c r="I29">
        <v>29</v>
      </c>
      <c r="J29" t="e">
        <f>((S29-EmpiricVANCOMYCINcalc!$T$11)^2)/EmpiricVANCOMYCINcalc!$T$11</f>
        <v>#VALUE!</v>
      </c>
      <c r="K29" t="e">
        <f>((T29-EmpiricVANCOMYCINcalc!$T$12)^2)/EmpiricVANCOMYCINcalc!$T$12</f>
        <v>#VALUE!</v>
      </c>
      <c r="L29" t="e">
        <f>((U29-EmpiricVANCOMYCINcalc!$T$10)^2)/EmpiricVANCOMYCINcalc!$T$10</f>
        <v>#VALUE!</v>
      </c>
      <c r="M29" s="5" t="str">
        <f t="shared" si="4"/>
        <v/>
      </c>
      <c r="N29" s="12">
        <f t="shared" si="0"/>
        <v>1500</v>
      </c>
      <c r="O29" s="12">
        <v>2250</v>
      </c>
      <c r="P29" s="12">
        <v>36</v>
      </c>
      <c r="Q29" s="12" t="str">
        <f>VLOOKUP(P29,DLsheet!$I$15:$J$20,2,FALSE)</f>
        <v>No</v>
      </c>
      <c r="R29" s="14">
        <f>VLOOKUP(O29,DLsheet!$E$13:$F$21,2,FALSE)</f>
        <v>2.5</v>
      </c>
      <c r="S29" t="e">
        <f t="shared" si="1"/>
        <v>#VALUE!</v>
      </c>
      <c r="T29" t="e">
        <f t="shared" si="2"/>
        <v>#VALUE!</v>
      </c>
      <c r="U29" t="e">
        <f t="shared" si="3"/>
        <v>#VALUE!</v>
      </c>
    </row>
    <row r="30" spans="1:21" x14ac:dyDescent="0.25">
      <c r="A30">
        <v>13.5</v>
      </c>
      <c r="B30" t="e">
        <f>HLOOKUP(EmpiricVANCOMYCINcalc!$Q$27,EmpWorksheet!$C$1:$H$100,I30,FALSE)</f>
        <v>#VALUE!</v>
      </c>
      <c r="C30" t="e">
        <f t="shared" si="5"/>
        <v>#VALUE!</v>
      </c>
      <c r="D30" t="e">
        <f t="shared" si="6"/>
        <v>#VALUE!</v>
      </c>
      <c r="E30" t="e">
        <f>$C$3*EXP(-$A$1*EmpWorksheet!$A30)</f>
        <v>#VALUE!</v>
      </c>
      <c r="F30" t="e">
        <f>$C$3*EXP(-$A$1*EmpWorksheet!$A30)</f>
        <v>#VALUE!</v>
      </c>
      <c r="G30" t="e">
        <f>$C$3*EXP(-$A$1*EmpWorksheet!$A30)</f>
        <v>#VALUE!</v>
      </c>
      <c r="H30" t="e">
        <f>$C$3*EXP(-$A$1*EmpWorksheet!$A30)</f>
        <v>#VALUE!</v>
      </c>
      <c r="I30">
        <v>30</v>
      </c>
      <c r="J30" t="e">
        <f>((S30-EmpiricVANCOMYCINcalc!$T$11)^2)/EmpiricVANCOMYCINcalc!$T$11</f>
        <v>#VALUE!</v>
      </c>
      <c r="K30" t="e">
        <f>((T30-EmpiricVANCOMYCINcalc!$T$12)^2)/EmpiricVANCOMYCINcalc!$T$12</f>
        <v>#VALUE!</v>
      </c>
      <c r="L30" t="e">
        <f>((U30-EmpiricVANCOMYCINcalc!$T$10)^2)/EmpiricVANCOMYCINcalc!$T$10</f>
        <v>#VALUE!</v>
      </c>
      <c r="M30" s="5" t="str">
        <f t="shared" si="4"/>
        <v/>
      </c>
      <c r="N30" s="12">
        <f t="shared" si="0"/>
        <v>1666.6666666666667</v>
      </c>
      <c r="O30" s="12">
        <v>1250</v>
      </c>
      <c r="P30" s="12">
        <v>18</v>
      </c>
      <c r="Q30" s="12" t="str">
        <f>VLOOKUP(P30,DLsheet!$I$15:$J$20,2,FALSE)</f>
        <v>No</v>
      </c>
      <c r="R30" s="14">
        <f>VLOOKUP(O30,DLsheet!$E$13:$F$21,2,FALSE)</f>
        <v>1.5</v>
      </c>
      <c r="S30" t="e">
        <f t="shared" si="1"/>
        <v>#VALUE!</v>
      </c>
      <c r="T30" t="e">
        <f t="shared" si="2"/>
        <v>#VALUE!</v>
      </c>
      <c r="U30" t="e">
        <f t="shared" si="3"/>
        <v>#VALUE!</v>
      </c>
    </row>
    <row r="31" spans="1:21" x14ac:dyDescent="0.25">
      <c r="A31">
        <v>14</v>
      </c>
      <c r="B31" t="e">
        <f>HLOOKUP(EmpiricVANCOMYCINcalc!$Q$27,EmpWorksheet!$C$1:$H$100,I31,FALSE)</f>
        <v>#VALUE!</v>
      </c>
      <c r="C31" t="e">
        <f t="shared" si="5"/>
        <v>#VALUE!</v>
      </c>
      <c r="D31" t="e">
        <f t="shared" si="6"/>
        <v>#VALUE!</v>
      </c>
      <c r="E31" t="e">
        <f>$C$3*EXP(-$A$1*EmpWorksheet!$A31)</f>
        <v>#VALUE!</v>
      </c>
      <c r="F31" t="e">
        <f>$C$3*EXP(-$A$1*EmpWorksheet!$A31)</f>
        <v>#VALUE!</v>
      </c>
      <c r="G31" t="e">
        <f>$C$3*EXP(-$A$1*EmpWorksheet!$A31)</f>
        <v>#VALUE!</v>
      </c>
      <c r="H31" t="e">
        <f>$C$3*EXP(-$A$1*EmpWorksheet!$A31)</f>
        <v>#VALUE!</v>
      </c>
      <c r="I31">
        <v>31</v>
      </c>
      <c r="J31" t="e">
        <f>((S31-EmpiricVANCOMYCINcalc!$T$11)^2)/EmpiricVANCOMYCINcalc!$T$11</f>
        <v>#VALUE!</v>
      </c>
      <c r="K31" t="e">
        <f>((T31-EmpiricVANCOMYCINcalc!$T$12)^2)/EmpiricVANCOMYCINcalc!$T$12</f>
        <v>#VALUE!</v>
      </c>
      <c r="L31" t="e">
        <f>((U31-EmpiricVANCOMYCINcalc!$T$10)^2)/EmpiricVANCOMYCINcalc!$T$10</f>
        <v>#VALUE!</v>
      </c>
      <c r="M31" s="5" t="str">
        <f t="shared" si="4"/>
        <v/>
      </c>
      <c r="N31" s="12">
        <f t="shared" si="0"/>
        <v>1666.6666666666667</v>
      </c>
      <c r="O31" s="12">
        <v>2500</v>
      </c>
      <c r="P31" s="12">
        <v>36</v>
      </c>
      <c r="Q31" s="12" t="str">
        <f>VLOOKUP(P31,DLsheet!$I$15:$J$20,2,FALSE)</f>
        <v>No</v>
      </c>
      <c r="R31" s="14">
        <f>VLOOKUP(O31,DLsheet!$E$13:$F$21,2,FALSE)</f>
        <v>2.5</v>
      </c>
      <c r="S31" t="e">
        <f t="shared" si="1"/>
        <v>#VALUE!</v>
      </c>
      <c r="T31" t="e">
        <f t="shared" si="2"/>
        <v>#VALUE!</v>
      </c>
      <c r="U31" t="e">
        <f t="shared" si="3"/>
        <v>#VALUE!</v>
      </c>
    </row>
    <row r="32" spans="1:21" x14ac:dyDescent="0.25">
      <c r="A32">
        <v>14.5</v>
      </c>
      <c r="B32" t="e">
        <f>HLOOKUP(EmpiricVANCOMYCINcalc!$Q$27,EmpWorksheet!$C$1:$H$100,I32,FALSE)</f>
        <v>#VALUE!</v>
      </c>
      <c r="C32" t="e">
        <f t="shared" si="5"/>
        <v>#VALUE!</v>
      </c>
      <c r="D32" t="e">
        <f t="shared" si="6"/>
        <v>#VALUE!</v>
      </c>
      <c r="E32" t="e">
        <f>$C$3*EXP(-$A$1*EmpWorksheet!$A32)</f>
        <v>#VALUE!</v>
      </c>
      <c r="F32" t="e">
        <f>$C$3*EXP(-$A$1*EmpWorksheet!$A32)</f>
        <v>#VALUE!</v>
      </c>
      <c r="G32" t="e">
        <f>$C$3*EXP(-$A$1*EmpWorksheet!$A32)</f>
        <v>#VALUE!</v>
      </c>
      <c r="H32" t="e">
        <f>$C$3*EXP(-$A$1*EmpWorksheet!$A32)</f>
        <v>#VALUE!</v>
      </c>
      <c r="I32">
        <v>32</v>
      </c>
      <c r="J32" t="e">
        <f>((S32-EmpiricVANCOMYCINcalc!$T$11)^2)/EmpiricVANCOMYCINcalc!$T$11</f>
        <v>#VALUE!</v>
      </c>
      <c r="K32" t="e">
        <f>((T32-EmpiricVANCOMYCINcalc!$T$12)^2)/EmpiricVANCOMYCINcalc!$T$12</f>
        <v>#VALUE!</v>
      </c>
      <c r="L32" t="e">
        <f>((U32-EmpiricVANCOMYCINcalc!$T$10)^2)/EmpiricVANCOMYCINcalc!$T$10</f>
        <v>#VALUE!</v>
      </c>
      <c r="M32" s="5" t="e">
        <f t="shared" si="4"/>
        <v>#VALUE!</v>
      </c>
      <c r="N32" s="12">
        <f t="shared" si="0"/>
        <v>1750</v>
      </c>
      <c r="O32" s="12">
        <v>1750</v>
      </c>
      <c r="P32" s="12">
        <v>24</v>
      </c>
      <c r="Q32" s="12" t="str">
        <f>VLOOKUP(P32,DLsheet!$I$15:$J$20,2,FALSE)</f>
        <v>Yes</v>
      </c>
      <c r="R32" s="14">
        <f>VLOOKUP(O32,DLsheet!$E$13:$F$21,2,FALSE)</f>
        <v>2</v>
      </c>
      <c r="S32" t="e">
        <f t="shared" si="1"/>
        <v>#VALUE!</v>
      </c>
      <c r="T32" t="e">
        <f t="shared" si="2"/>
        <v>#VALUE!</v>
      </c>
      <c r="U32" t="e">
        <f t="shared" si="3"/>
        <v>#VALUE!</v>
      </c>
    </row>
    <row r="33" spans="1:21" x14ac:dyDescent="0.25">
      <c r="A33">
        <v>15</v>
      </c>
      <c r="B33" t="e">
        <f>HLOOKUP(EmpiricVANCOMYCINcalc!$Q$27,EmpWorksheet!$C$1:$H$100,I33,FALSE)</f>
        <v>#VALUE!</v>
      </c>
      <c r="C33" t="e">
        <f t="shared" si="5"/>
        <v>#VALUE!</v>
      </c>
      <c r="D33" t="e">
        <f t="shared" si="6"/>
        <v>#VALUE!</v>
      </c>
      <c r="E33" t="e">
        <f>$C$3*EXP(-$A$1*EmpWorksheet!$A33)</f>
        <v>#VALUE!</v>
      </c>
      <c r="F33" t="e">
        <f>$C$3*EXP(-$A$1*EmpWorksheet!$A33)</f>
        <v>#VALUE!</v>
      </c>
      <c r="G33" t="e">
        <f>$C$3*EXP(-$A$1*EmpWorksheet!$A33)</f>
        <v>#VALUE!</v>
      </c>
      <c r="H33" t="e">
        <f>$C$3*EXP(-$A$1*EmpWorksheet!$A33)</f>
        <v>#VALUE!</v>
      </c>
      <c r="I33">
        <v>33</v>
      </c>
      <c r="J33" t="e">
        <f>((S33-EmpiricVANCOMYCINcalc!$T$11)^2)/EmpiricVANCOMYCINcalc!$T$11</f>
        <v>#VALUE!</v>
      </c>
      <c r="K33" t="e">
        <f>((T33-EmpiricVANCOMYCINcalc!$T$12)^2)/EmpiricVANCOMYCINcalc!$T$12</f>
        <v>#VALUE!</v>
      </c>
      <c r="L33" t="e">
        <f>((U33-EmpiricVANCOMYCINcalc!$T$10)^2)/EmpiricVANCOMYCINcalc!$T$10</f>
        <v>#VALUE!</v>
      </c>
      <c r="M33" s="5" t="e">
        <f t="shared" si="4"/>
        <v>#VALUE!</v>
      </c>
      <c r="N33" s="12">
        <f t="shared" si="0"/>
        <v>2000</v>
      </c>
      <c r="O33" s="12">
        <v>1000</v>
      </c>
      <c r="P33" s="12">
        <v>12</v>
      </c>
      <c r="Q33" s="12" t="str">
        <f>VLOOKUP(P33,DLsheet!$I$15:$J$20,2,FALSE)</f>
        <v>Yes</v>
      </c>
      <c r="R33" s="14">
        <f>VLOOKUP(O33,DLsheet!$E$13:$F$21,2,FALSE)</f>
        <v>1</v>
      </c>
      <c r="S33" t="e">
        <f t="shared" si="1"/>
        <v>#VALUE!</v>
      </c>
      <c r="T33" t="e">
        <f t="shared" si="2"/>
        <v>#VALUE!</v>
      </c>
      <c r="U33" t="e">
        <f t="shared" si="3"/>
        <v>#VALUE!</v>
      </c>
    </row>
    <row r="34" spans="1:21" x14ac:dyDescent="0.25">
      <c r="A34">
        <v>15.5</v>
      </c>
      <c r="B34" t="e">
        <f>HLOOKUP(EmpiricVANCOMYCINcalc!$Q$27,EmpWorksheet!$C$1:$H$100,I34,FALSE)</f>
        <v>#VALUE!</v>
      </c>
      <c r="C34" t="e">
        <f t="shared" si="5"/>
        <v>#VALUE!</v>
      </c>
      <c r="D34" t="e">
        <f t="shared" si="6"/>
        <v>#VALUE!</v>
      </c>
      <c r="E34" t="e">
        <f>$C$3*EXP(-$A$1*EmpWorksheet!$A34)</f>
        <v>#VALUE!</v>
      </c>
      <c r="F34" t="e">
        <f>$C$3*EXP(-$A$1*EmpWorksheet!$A34)</f>
        <v>#VALUE!</v>
      </c>
      <c r="G34" t="e">
        <f>$C$3*EXP(-$A$1*EmpWorksheet!$A34)</f>
        <v>#VALUE!</v>
      </c>
      <c r="H34" t="e">
        <f>$C$3*EXP(-$A$1*EmpWorksheet!$A34)</f>
        <v>#VALUE!</v>
      </c>
      <c r="I34">
        <v>34</v>
      </c>
      <c r="J34" t="e">
        <f>((S34-EmpiricVANCOMYCINcalc!$T$11)^2)/EmpiricVANCOMYCINcalc!$T$11</f>
        <v>#VALUE!</v>
      </c>
      <c r="K34" t="e">
        <f>((T34-EmpiricVANCOMYCINcalc!$T$12)^2)/EmpiricVANCOMYCINcalc!$T$12</f>
        <v>#VALUE!</v>
      </c>
      <c r="L34" t="e">
        <f>((U34-EmpiricVANCOMYCINcalc!$T$10)^2)/EmpiricVANCOMYCINcalc!$T$10</f>
        <v>#VALUE!</v>
      </c>
      <c r="M34" s="5" t="str">
        <f t="shared" si="4"/>
        <v/>
      </c>
      <c r="N34" s="12">
        <f t="shared" ref="N34:N54" si="7">O34*24/P34</f>
        <v>2000</v>
      </c>
      <c r="O34" s="12">
        <v>1500</v>
      </c>
      <c r="P34" s="12">
        <v>18</v>
      </c>
      <c r="Q34" s="12" t="str">
        <f>VLOOKUP(P34,DLsheet!$I$15:$J$20,2,FALSE)</f>
        <v>No</v>
      </c>
      <c r="R34" s="14">
        <f>VLOOKUP(O34,DLsheet!$E$13:$F$21,2,FALSE)</f>
        <v>1.5</v>
      </c>
      <c r="S34" t="e">
        <f t="shared" ref="S34:S54" si="8">O34/$B$1/(1-EXP(-$A$1*P34))</f>
        <v>#VALUE!</v>
      </c>
      <c r="T34" t="e">
        <f t="shared" ref="T34:T54" si="9">S34*EXP(-$A$1*(P34-R34))</f>
        <v>#VALUE!</v>
      </c>
      <c r="U34" t="e">
        <f t="shared" ref="U34:U54" si="10">O34*24/P34/$B$1/$A$1</f>
        <v>#VALUE!</v>
      </c>
    </row>
    <row r="35" spans="1:21" x14ac:dyDescent="0.25">
      <c r="A35">
        <v>16</v>
      </c>
      <c r="B35" t="e">
        <f>HLOOKUP(EmpiricVANCOMYCINcalc!$Q$27,EmpWorksheet!$C$1:$H$100,I35,FALSE)</f>
        <v>#VALUE!</v>
      </c>
      <c r="C35" t="e">
        <f t="shared" si="5"/>
        <v>#VALUE!</v>
      </c>
      <c r="D35" t="e">
        <f t="shared" si="6"/>
        <v>#VALUE!</v>
      </c>
      <c r="E35" t="e">
        <f>$C$3*EXP(-$A$1*EmpWorksheet!$A35)</f>
        <v>#VALUE!</v>
      </c>
      <c r="F35" t="e">
        <f>$C$3*EXP(-$A$1*EmpWorksheet!$A35)</f>
        <v>#VALUE!</v>
      </c>
      <c r="G35" t="e">
        <f>$C$3*EXP(-$A$1*EmpWorksheet!$A35)</f>
        <v>#VALUE!</v>
      </c>
      <c r="H35" t="e">
        <f>$C$3*EXP(-$A$1*EmpWorksheet!$A35)</f>
        <v>#VALUE!</v>
      </c>
      <c r="I35">
        <v>35</v>
      </c>
      <c r="J35" t="e">
        <f>((S35-EmpiricVANCOMYCINcalc!$T$11)^2)/EmpiricVANCOMYCINcalc!$T$11</f>
        <v>#VALUE!</v>
      </c>
      <c r="K35" t="e">
        <f>((T35-EmpiricVANCOMYCINcalc!$T$12)^2)/EmpiricVANCOMYCINcalc!$T$12</f>
        <v>#VALUE!</v>
      </c>
      <c r="L35" t="e">
        <f>((U35-EmpiricVANCOMYCINcalc!$T$10)^2)/EmpiricVANCOMYCINcalc!$T$10</f>
        <v>#VALUE!</v>
      </c>
      <c r="M35" s="5" t="e">
        <f t="shared" si="4"/>
        <v>#VALUE!</v>
      </c>
      <c r="N35" s="12">
        <f t="shared" si="7"/>
        <v>2000</v>
      </c>
      <c r="O35" s="12">
        <v>2000</v>
      </c>
      <c r="P35" s="12">
        <v>24</v>
      </c>
      <c r="Q35" s="12" t="str">
        <f>VLOOKUP(P35,DLsheet!$I$15:$J$20,2,FALSE)</f>
        <v>Yes</v>
      </c>
      <c r="R35" s="14">
        <f>VLOOKUP(O35,DLsheet!$E$13:$F$21,2,FALSE)</f>
        <v>2</v>
      </c>
      <c r="S35" t="e">
        <f t="shared" si="8"/>
        <v>#VALUE!</v>
      </c>
      <c r="T35" t="e">
        <f t="shared" si="9"/>
        <v>#VALUE!</v>
      </c>
      <c r="U35" t="e">
        <f t="shared" si="10"/>
        <v>#VALUE!</v>
      </c>
    </row>
    <row r="36" spans="1:21" x14ac:dyDescent="0.25">
      <c r="A36">
        <v>16.5</v>
      </c>
      <c r="B36" t="e">
        <f>HLOOKUP(EmpiricVANCOMYCINcalc!$Q$27,EmpWorksheet!$C$1:$H$100,I36,FALSE)</f>
        <v>#VALUE!</v>
      </c>
      <c r="C36" t="e">
        <f>C35+C3</f>
        <v>#VALUE!</v>
      </c>
      <c r="D36" t="e">
        <f t="shared" si="6"/>
        <v>#VALUE!</v>
      </c>
      <c r="E36" t="e">
        <f>$C$3*EXP(-$A$1*EmpWorksheet!$A36)</f>
        <v>#VALUE!</v>
      </c>
      <c r="F36" t="e">
        <f>$C$3*EXP(-$A$1*EmpWorksheet!$A36)</f>
        <v>#VALUE!</v>
      </c>
      <c r="G36" t="e">
        <f>$C$3*EXP(-$A$1*EmpWorksheet!$A36)</f>
        <v>#VALUE!</v>
      </c>
      <c r="H36" t="e">
        <f>$C$3*EXP(-$A$1*EmpWorksheet!$A36)</f>
        <v>#VALUE!</v>
      </c>
      <c r="I36">
        <v>36</v>
      </c>
      <c r="J36" t="e">
        <f>((S36-EmpiricVANCOMYCINcalc!$T$11)^2)/EmpiricVANCOMYCINcalc!$T$11</f>
        <v>#VALUE!</v>
      </c>
      <c r="K36" t="e">
        <f>((T36-EmpiricVANCOMYCINcalc!$T$12)^2)/EmpiricVANCOMYCINcalc!$T$12</f>
        <v>#VALUE!</v>
      </c>
      <c r="L36" t="e">
        <f>((U36-EmpiricVANCOMYCINcalc!$T$10)^2)/EmpiricVANCOMYCINcalc!$T$10</f>
        <v>#VALUE!</v>
      </c>
      <c r="M36" s="5" t="e">
        <f t="shared" si="4"/>
        <v>#VALUE!</v>
      </c>
      <c r="N36" s="12">
        <f t="shared" si="7"/>
        <v>2250</v>
      </c>
      <c r="O36" s="12">
        <v>750</v>
      </c>
      <c r="P36" s="12">
        <v>8</v>
      </c>
      <c r="Q36" s="12" t="str">
        <f>VLOOKUP(P36,DLsheet!$I$15:$J$20,2,FALSE)</f>
        <v>Yes</v>
      </c>
      <c r="R36" s="14">
        <f>VLOOKUP(O36,DLsheet!$E$13:$F$21,2,FALSE)</f>
        <v>1</v>
      </c>
      <c r="S36" t="e">
        <f t="shared" si="8"/>
        <v>#VALUE!</v>
      </c>
      <c r="T36" t="e">
        <f t="shared" si="9"/>
        <v>#VALUE!</v>
      </c>
      <c r="U36" t="e">
        <f t="shared" si="10"/>
        <v>#VALUE!</v>
      </c>
    </row>
    <row r="37" spans="1:21" x14ac:dyDescent="0.25">
      <c r="A37">
        <v>17</v>
      </c>
      <c r="B37" t="e">
        <f>HLOOKUP(EmpiricVANCOMYCINcalc!$Q$27,EmpWorksheet!$C$1:$H$100,I37,FALSE)</f>
        <v>#VALUE!</v>
      </c>
      <c r="C37" t="e">
        <f t="shared" ref="C37:C51" si="11">$C$36*EXP(-$A$1*(A37-16.5))</f>
        <v>#VALUE!</v>
      </c>
      <c r="D37" t="e">
        <f t="shared" si="6"/>
        <v>#VALUE!</v>
      </c>
      <c r="E37" t="e">
        <f>$C$3*EXP(-$A$1*EmpWorksheet!$A37)</f>
        <v>#VALUE!</v>
      </c>
      <c r="F37" t="e">
        <f>$C$3*EXP(-$A$1*EmpWorksheet!$A37)</f>
        <v>#VALUE!</v>
      </c>
      <c r="G37" t="e">
        <f>$C$3*EXP(-$A$1*EmpWorksheet!$A37)</f>
        <v>#VALUE!</v>
      </c>
      <c r="H37" t="e">
        <f>$C$3*EXP(-$A$1*EmpWorksheet!$A37)</f>
        <v>#VALUE!</v>
      </c>
      <c r="I37">
        <v>37</v>
      </c>
      <c r="J37" t="e">
        <f>((S37-EmpiricVANCOMYCINcalc!$T$11)^2)/EmpiricVANCOMYCINcalc!$T$11</f>
        <v>#VALUE!</v>
      </c>
      <c r="K37" t="e">
        <f>((T37-EmpiricVANCOMYCINcalc!$T$12)^2)/EmpiricVANCOMYCINcalc!$T$12</f>
        <v>#VALUE!</v>
      </c>
      <c r="L37" t="e">
        <f>((U37-EmpiricVANCOMYCINcalc!$T$10)^2)/EmpiricVANCOMYCINcalc!$T$10</f>
        <v>#VALUE!</v>
      </c>
      <c r="M37" s="5" t="e">
        <f t="shared" si="4"/>
        <v>#VALUE!</v>
      </c>
      <c r="N37" s="12">
        <f t="shared" si="7"/>
        <v>2250</v>
      </c>
      <c r="O37" s="12">
        <v>2250</v>
      </c>
      <c r="P37" s="12">
        <v>24</v>
      </c>
      <c r="Q37" s="12" t="str">
        <f>VLOOKUP(P37,DLsheet!$I$15:$J$20,2,FALSE)</f>
        <v>Yes</v>
      </c>
      <c r="R37" s="14">
        <f>VLOOKUP(O37,DLsheet!$E$13:$F$21,2,FALSE)</f>
        <v>2.5</v>
      </c>
      <c r="S37" t="e">
        <f t="shared" si="8"/>
        <v>#VALUE!</v>
      </c>
      <c r="T37" t="e">
        <f t="shared" si="9"/>
        <v>#VALUE!</v>
      </c>
      <c r="U37" t="e">
        <f t="shared" si="10"/>
        <v>#VALUE!</v>
      </c>
    </row>
    <row r="38" spans="1:21" x14ac:dyDescent="0.25">
      <c r="A38">
        <v>17.5</v>
      </c>
      <c r="B38" t="e">
        <f>HLOOKUP(EmpiricVANCOMYCINcalc!$Q$27,EmpWorksheet!$C$1:$H$100,I38,FALSE)</f>
        <v>#VALUE!</v>
      </c>
      <c r="C38" t="e">
        <f t="shared" si="11"/>
        <v>#VALUE!</v>
      </c>
      <c r="D38" t="e">
        <f t="shared" si="6"/>
        <v>#VALUE!</v>
      </c>
      <c r="E38" t="e">
        <f>$C$3*EXP(-$A$1*EmpWorksheet!$A38)</f>
        <v>#VALUE!</v>
      </c>
      <c r="F38" t="e">
        <f>$C$3*EXP(-$A$1*EmpWorksheet!$A38)</f>
        <v>#VALUE!</v>
      </c>
      <c r="G38" t="e">
        <f>$C$3*EXP(-$A$1*EmpWorksheet!$A38)</f>
        <v>#VALUE!</v>
      </c>
      <c r="H38" t="e">
        <f>$C$3*EXP(-$A$1*EmpWorksheet!$A38)</f>
        <v>#VALUE!</v>
      </c>
      <c r="I38">
        <v>38</v>
      </c>
      <c r="J38" t="e">
        <f>((S38-EmpiricVANCOMYCINcalc!$T$11)^2)/EmpiricVANCOMYCINcalc!$T$11</f>
        <v>#VALUE!</v>
      </c>
      <c r="K38" t="e">
        <f>((T38-EmpiricVANCOMYCINcalc!$T$12)^2)/EmpiricVANCOMYCINcalc!$T$12</f>
        <v>#VALUE!</v>
      </c>
      <c r="L38" t="e">
        <f>((U38-EmpiricVANCOMYCINcalc!$T$10)^2)/EmpiricVANCOMYCINcalc!$T$10</f>
        <v>#VALUE!</v>
      </c>
      <c r="M38" s="5" t="str">
        <f t="shared" si="4"/>
        <v/>
      </c>
      <c r="N38" s="12">
        <f t="shared" si="7"/>
        <v>2333.3333333333335</v>
      </c>
      <c r="O38" s="12">
        <v>1750</v>
      </c>
      <c r="P38" s="12">
        <v>18</v>
      </c>
      <c r="Q38" s="12" t="str">
        <f>VLOOKUP(P38,DLsheet!$I$15:$J$20,2,FALSE)</f>
        <v>No</v>
      </c>
      <c r="R38" s="14">
        <f>VLOOKUP(O38,DLsheet!$E$13:$F$21,2,FALSE)</f>
        <v>2</v>
      </c>
      <c r="S38" t="e">
        <f t="shared" si="8"/>
        <v>#VALUE!</v>
      </c>
      <c r="T38" t="e">
        <f t="shared" si="9"/>
        <v>#VALUE!</v>
      </c>
      <c r="U38" t="e">
        <f t="shared" si="10"/>
        <v>#VALUE!</v>
      </c>
    </row>
    <row r="39" spans="1:21" x14ac:dyDescent="0.25">
      <c r="A39">
        <v>18</v>
      </c>
      <c r="B39" t="e">
        <f>HLOOKUP(EmpiricVANCOMYCINcalc!$Q$27,EmpWorksheet!$C$1:$H$100,I39,FALSE)</f>
        <v>#VALUE!</v>
      </c>
      <c r="C39" t="e">
        <f t="shared" si="11"/>
        <v>#VALUE!</v>
      </c>
      <c r="D39" t="e">
        <f t="shared" si="6"/>
        <v>#VALUE!</v>
      </c>
      <c r="E39" t="e">
        <f>$C$3*EXP(-$A$1*EmpWorksheet!$A39)</f>
        <v>#VALUE!</v>
      </c>
      <c r="F39" t="e">
        <f>$C$3*EXP(-$A$1*EmpWorksheet!$A39)</f>
        <v>#VALUE!</v>
      </c>
      <c r="G39" t="e">
        <f>$C$3*EXP(-$A$1*EmpWorksheet!$A39)</f>
        <v>#VALUE!</v>
      </c>
      <c r="H39" t="e">
        <f>$C$3*EXP(-$A$1*EmpWorksheet!$A39)</f>
        <v>#VALUE!</v>
      </c>
      <c r="I39">
        <v>39</v>
      </c>
      <c r="J39" t="e">
        <f>((S39-EmpiricVANCOMYCINcalc!$T$11)^2)/EmpiricVANCOMYCINcalc!$T$11</f>
        <v>#VALUE!</v>
      </c>
      <c r="K39" t="e">
        <f>((T39-EmpiricVANCOMYCINcalc!$T$12)^2)/EmpiricVANCOMYCINcalc!$T$12</f>
        <v>#VALUE!</v>
      </c>
      <c r="L39" t="e">
        <f>((U39-EmpiricVANCOMYCINcalc!$T$10)^2)/EmpiricVANCOMYCINcalc!$T$10</f>
        <v>#VALUE!</v>
      </c>
      <c r="M39" s="5" t="e">
        <f t="shared" si="4"/>
        <v>#VALUE!</v>
      </c>
      <c r="N39" s="12">
        <f t="shared" si="7"/>
        <v>2500</v>
      </c>
      <c r="O39" s="12">
        <v>1250</v>
      </c>
      <c r="P39" s="12">
        <v>12</v>
      </c>
      <c r="Q39" s="12" t="str">
        <f>VLOOKUP(P39,DLsheet!$I$15:$J$20,2,FALSE)</f>
        <v>Yes</v>
      </c>
      <c r="R39" s="14">
        <f>VLOOKUP(O39,DLsheet!$E$13:$F$21,2,FALSE)</f>
        <v>1.5</v>
      </c>
      <c r="S39" t="e">
        <f t="shared" si="8"/>
        <v>#VALUE!</v>
      </c>
      <c r="T39" t="e">
        <f t="shared" si="9"/>
        <v>#VALUE!</v>
      </c>
      <c r="U39" t="e">
        <f t="shared" si="10"/>
        <v>#VALUE!</v>
      </c>
    </row>
    <row r="40" spans="1:21" x14ac:dyDescent="0.25">
      <c r="A40">
        <v>18.5</v>
      </c>
      <c r="B40" t="e">
        <f>HLOOKUP(EmpiricVANCOMYCINcalc!$Q$27,EmpWorksheet!$C$1:$H$100,I40,FALSE)</f>
        <v>#VALUE!</v>
      </c>
      <c r="C40" t="e">
        <f t="shared" si="11"/>
        <v>#VALUE!</v>
      </c>
      <c r="D40" t="e">
        <f t="shared" si="6"/>
        <v>#VALUE!</v>
      </c>
      <c r="E40" t="e">
        <f>E39+E3</f>
        <v>#VALUE!</v>
      </c>
      <c r="F40" t="e">
        <f>$C$3*EXP(-$A$1*EmpWorksheet!$A40)</f>
        <v>#VALUE!</v>
      </c>
      <c r="G40" t="e">
        <f>$C$3*EXP(-$A$1*EmpWorksheet!$A40)</f>
        <v>#VALUE!</v>
      </c>
      <c r="H40" t="e">
        <f>$C$3*EXP(-$A$1*EmpWorksheet!$A40)</f>
        <v>#VALUE!</v>
      </c>
      <c r="I40">
        <v>40</v>
      </c>
      <c r="J40" t="e">
        <f>((S40-EmpiricVANCOMYCINcalc!$T$11)^2)/EmpiricVANCOMYCINcalc!$T$11</f>
        <v>#VALUE!</v>
      </c>
      <c r="K40" t="e">
        <f>((T40-EmpiricVANCOMYCINcalc!$T$12)^2)/EmpiricVANCOMYCINcalc!$T$12</f>
        <v>#VALUE!</v>
      </c>
      <c r="L40" t="e">
        <f>((U40-EmpiricVANCOMYCINcalc!$T$10)^2)/EmpiricVANCOMYCINcalc!$T$10</f>
        <v>#VALUE!</v>
      </c>
      <c r="M40" s="5" t="e">
        <f t="shared" si="4"/>
        <v>#VALUE!</v>
      </c>
      <c r="N40" s="12">
        <f t="shared" si="7"/>
        <v>2500</v>
      </c>
      <c r="O40" s="12">
        <v>2500</v>
      </c>
      <c r="P40" s="12">
        <v>24</v>
      </c>
      <c r="Q40" s="12" t="str">
        <f>VLOOKUP(P40,DLsheet!$I$15:$J$20,2,FALSE)</f>
        <v>Yes</v>
      </c>
      <c r="R40" s="14">
        <f>VLOOKUP(O40,DLsheet!$E$13:$F$21,2,FALSE)</f>
        <v>2.5</v>
      </c>
      <c r="S40" t="e">
        <f t="shared" si="8"/>
        <v>#VALUE!</v>
      </c>
      <c r="T40" t="e">
        <f t="shared" si="9"/>
        <v>#VALUE!</v>
      </c>
      <c r="U40" t="e">
        <f t="shared" si="10"/>
        <v>#VALUE!</v>
      </c>
    </row>
    <row r="41" spans="1:21" x14ac:dyDescent="0.25">
      <c r="A41">
        <v>19</v>
      </c>
      <c r="B41" t="e">
        <f>HLOOKUP(EmpiricVANCOMYCINcalc!$Q$27,EmpWorksheet!$C$1:$H$100,I41,FALSE)</f>
        <v>#VALUE!</v>
      </c>
      <c r="C41" t="e">
        <f t="shared" si="11"/>
        <v>#VALUE!</v>
      </c>
      <c r="D41" t="e">
        <f t="shared" si="6"/>
        <v>#VALUE!</v>
      </c>
      <c r="E41" t="e">
        <f t="shared" ref="E41:E67" si="12">$E$40*EXP(-$A$1*(A41-18.5))</f>
        <v>#VALUE!</v>
      </c>
      <c r="F41" t="e">
        <f>$C$3*EXP(-$A$1*EmpWorksheet!$A41)</f>
        <v>#VALUE!</v>
      </c>
      <c r="G41" t="e">
        <f>$C$3*EXP(-$A$1*EmpWorksheet!$A41)</f>
        <v>#VALUE!</v>
      </c>
      <c r="H41" t="e">
        <f>$C$3*EXP(-$A$1*EmpWorksheet!$A41)</f>
        <v>#VALUE!</v>
      </c>
      <c r="I41">
        <v>41</v>
      </c>
      <c r="J41" t="e">
        <f>((S41-EmpiricVANCOMYCINcalc!$T$11)^2)/EmpiricVANCOMYCINcalc!$T$11</f>
        <v>#VALUE!</v>
      </c>
      <c r="K41" t="e">
        <f>((T41-EmpiricVANCOMYCINcalc!$T$12)^2)/EmpiricVANCOMYCINcalc!$T$12</f>
        <v>#VALUE!</v>
      </c>
      <c r="L41" t="e">
        <f>((U41-EmpiricVANCOMYCINcalc!$T$10)^2)/EmpiricVANCOMYCINcalc!$T$10</f>
        <v>#VALUE!</v>
      </c>
      <c r="M41" s="5" t="str">
        <f t="shared" si="4"/>
        <v/>
      </c>
      <c r="N41" s="12">
        <f t="shared" si="7"/>
        <v>2666.6666666666665</v>
      </c>
      <c r="O41" s="12">
        <v>2000</v>
      </c>
      <c r="P41" s="12">
        <v>18</v>
      </c>
      <c r="Q41" s="12" t="str">
        <f>VLOOKUP(P41,DLsheet!$I$15:$J$20,2,FALSE)</f>
        <v>No</v>
      </c>
      <c r="R41" s="14">
        <f>VLOOKUP(O41,DLsheet!$E$13:$F$21,2,FALSE)</f>
        <v>2</v>
      </c>
      <c r="S41" t="e">
        <f t="shared" si="8"/>
        <v>#VALUE!</v>
      </c>
      <c r="T41" t="e">
        <f t="shared" si="9"/>
        <v>#VALUE!</v>
      </c>
      <c r="U41" t="e">
        <f t="shared" si="10"/>
        <v>#VALUE!</v>
      </c>
    </row>
    <row r="42" spans="1:21" x14ac:dyDescent="0.25">
      <c r="A42">
        <v>19.5</v>
      </c>
      <c r="B42" t="e">
        <f>HLOOKUP(EmpiricVANCOMYCINcalc!$Q$27,EmpWorksheet!$C$1:$H$100,I42,FALSE)</f>
        <v>#VALUE!</v>
      </c>
      <c r="C42" t="e">
        <f t="shared" si="11"/>
        <v>#VALUE!</v>
      </c>
      <c r="D42" t="e">
        <f t="shared" si="6"/>
        <v>#VALUE!</v>
      </c>
      <c r="E42" t="e">
        <f t="shared" si="12"/>
        <v>#VALUE!</v>
      </c>
      <c r="F42" t="e">
        <f>$C$3*EXP(-$A$1*EmpWorksheet!$A42)</f>
        <v>#VALUE!</v>
      </c>
      <c r="G42" t="e">
        <f>$C$3*EXP(-$A$1*EmpWorksheet!$A42)</f>
        <v>#VALUE!</v>
      </c>
      <c r="H42" t="e">
        <f>$C$3*EXP(-$A$1*EmpWorksheet!$A42)</f>
        <v>#VALUE!</v>
      </c>
      <c r="I42">
        <v>42</v>
      </c>
      <c r="J42" t="e">
        <f>((S42-EmpiricVANCOMYCINcalc!$T$11)^2)/EmpiricVANCOMYCINcalc!$T$11</f>
        <v>#VALUE!</v>
      </c>
      <c r="K42" t="e">
        <f>((T42-EmpiricVANCOMYCINcalc!$T$12)^2)/EmpiricVANCOMYCINcalc!$T$12</f>
        <v>#VALUE!</v>
      </c>
      <c r="L42" t="e">
        <f>((U42-EmpiricVANCOMYCINcalc!$T$10)^2)/EmpiricVANCOMYCINcalc!$T$10</f>
        <v>#VALUE!</v>
      </c>
      <c r="M42" s="5" t="e">
        <f t="shared" si="4"/>
        <v>#VALUE!</v>
      </c>
      <c r="N42" s="12">
        <f t="shared" si="7"/>
        <v>3000</v>
      </c>
      <c r="O42" s="12">
        <v>1000</v>
      </c>
      <c r="P42" s="12">
        <v>8</v>
      </c>
      <c r="Q42" s="12" t="str">
        <f>VLOOKUP(P42,DLsheet!$I$15:$J$20,2,FALSE)</f>
        <v>Yes</v>
      </c>
      <c r="R42" s="14">
        <f>VLOOKUP(O42,DLsheet!$E$13:$F$21,2,FALSE)</f>
        <v>1</v>
      </c>
      <c r="S42" t="e">
        <f t="shared" si="8"/>
        <v>#VALUE!</v>
      </c>
      <c r="T42" t="e">
        <f t="shared" si="9"/>
        <v>#VALUE!</v>
      </c>
      <c r="U42" t="e">
        <f t="shared" si="10"/>
        <v>#VALUE!</v>
      </c>
    </row>
    <row r="43" spans="1:21" x14ac:dyDescent="0.25">
      <c r="A43">
        <v>20</v>
      </c>
      <c r="B43" t="e">
        <f>HLOOKUP(EmpiricVANCOMYCINcalc!$Q$27,EmpWorksheet!$C$1:$H$100,I43,FALSE)</f>
        <v>#VALUE!</v>
      </c>
      <c r="C43" t="e">
        <f t="shared" si="11"/>
        <v>#VALUE!</v>
      </c>
      <c r="D43" t="e">
        <f t="shared" si="6"/>
        <v>#VALUE!</v>
      </c>
      <c r="E43" t="e">
        <f t="shared" si="12"/>
        <v>#VALUE!</v>
      </c>
      <c r="F43" t="e">
        <f>$C$3*EXP(-$A$1*EmpWorksheet!$A43)</f>
        <v>#VALUE!</v>
      </c>
      <c r="G43" t="e">
        <f>$C$3*EXP(-$A$1*EmpWorksheet!$A43)</f>
        <v>#VALUE!</v>
      </c>
      <c r="H43" t="e">
        <f>$C$3*EXP(-$A$1*EmpWorksheet!$A43)</f>
        <v>#VALUE!</v>
      </c>
      <c r="I43">
        <v>43</v>
      </c>
      <c r="J43" t="e">
        <f>((S43-EmpiricVANCOMYCINcalc!$T$11)^2)/EmpiricVANCOMYCINcalc!$T$11</f>
        <v>#VALUE!</v>
      </c>
      <c r="K43" t="e">
        <f>((T43-EmpiricVANCOMYCINcalc!$T$12)^2)/EmpiricVANCOMYCINcalc!$T$12</f>
        <v>#VALUE!</v>
      </c>
      <c r="L43" t="e">
        <f>((U43-EmpiricVANCOMYCINcalc!$T$10)^2)/EmpiricVANCOMYCINcalc!$T$10</f>
        <v>#VALUE!</v>
      </c>
      <c r="M43" s="5" t="e">
        <f t="shared" si="4"/>
        <v>#VALUE!</v>
      </c>
      <c r="N43" s="12">
        <f t="shared" si="7"/>
        <v>3000</v>
      </c>
      <c r="O43" s="12">
        <v>1500</v>
      </c>
      <c r="P43" s="12">
        <v>12</v>
      </c>
      <c r="Q43" s="12" t="str">
        <f>VLOOKUP(P43,DLsheet!$I$15:$J$20,2,FALSE)</f>
        <v>Yes</v>
      </c>
      <c r="R43" s="14">
        <f>VLOOKUP(O43,DLsheet!$E$13:$F$21,2,FALSE)</f>
        <v>1.5</v>
      </c>
      <c r="S43" t="e">
        <f t="shared" si="8"/>
        <v>#VALUE!</v>
      </c>
      <c r="T43" t="e">
        <f t="shared" si="9"/>
        <v>#VALUE!</v>
      </c>
      <c r="U43" t="e">
        <f t="shared" si="10"/>
        <v>#VALUE!</v>
      </c>
    </row>
    <row r="44" spans="1:21" x14ac:dyDescent="0.25">
      <c r="A44">
        <v>20.5</v>
      </c>
      <c r="B44" t="e">
        <f>HLOOKUP(EmpiricVANCOMYCINcalc!$Q$27,EmpWorksheet!$C$1:$H$100,I44,FALSE)</f>
        <v>#VALUE!</v>
      </c>
      <c r="C44" t="e">
        <f t="shared" si="11"/>
        <v>#VALUE!</v>
      </c>
      <c r="D44" t="e">
        <f t="shared" si="6"/>
        <v>#VALUE!</v>
      </c>
      <c r="E44" t="e">
        <f t="shared" si="12"/>
        <v>#VALUE!</v>
      </c>
      <c r="F44" t="e">
        <f>$C$3*EXP(-$A$1*EmpWorksheet!$A44)</f>
        <v>#VALUE!</v>
      </c>
      <c r="G44" t="e">
        <f>$C$3*EXP(-$A$1*EmpWorksheet!$A44)</f>
        <v>#VALUE!</v>
      </c>
      <c r="H44" t="e">
        <f>$C$3*EXP(-$A$1*EmpWorksheet!$A44)</f>
        <v>#VALUE!</v>
      </c>
      <c r="I44">
        <v>44</v>
      </c>
      <c r="J44" t="e">
        <f>((S44-EmpiricVANCOMYCINcalc!$T$11)^2)/EmpiricVANCOMYCINcalc!$T$11</f>
        <v>#VALUE!</v>
      </c>
      <c r="K44" t="e">
        <f>((T44-EmpiricVANCOMYCINcalc!$T$12)^2)/EmpiricVANCOMYCINcalc!$T$12</f>
        <v>#VALUE!</v>
      </c>
      <c r="L44" t="e">
        <f>((U44-EmpiricVANCOMYCINcalc!$T$10)^2)/EmpiricVANCOMYCINcalc!$T$10</f>
        <v>#VALUE!</v>
      </c>
      <c r="M44" s="5" t="str">
        <f t="shared" si="4"/>
        <v/>
      </c>
      <c r="N44" s="12">
        <f t="shared" si="7"/>
        <v>3000</v>
      </c>
      <c r="O44" s="12">
        <v>2250</v>
      </c>
      <c r="P44" s="12">
        <v>18</v>
      </c>
      <c r="Q44" s="12" t="str">
        <f>VLOOKUP(P44,DLsheet!$I$15:$J$20,2,FALSE)</f>
        <v>No</v>
      </c>
      <c r="R44" s="14">
        <f>VLOOKUP(O44,DLsheet!$E$13:$F$21,2,FALSE)</f>
        <v>2.5</v>
      </c>
      <c r="S44" t="e">
        <f t="shared" si="8"/>
        <v>#VALUE!</v>
      </c>
      <c r="T44" t="e">
        <f t="shared" si="9"/>
        <v>#VALUE!</v>
      </c>
      <c r="U44" t="e">
        <f t="shared" si="10"/>
        <v>#VALUE!</v>
      </c>
    </row>
    <row r="45" spans="1:21" x14ac:dyDescent="0.25">
      <c r="A45">
        <v>21</v>
      </c>
      <c r="B45" t="e">
        <f>HLOOKUP(EmpiricVANCOMYCINcalc!$Q$27,EmpWorksheet!$C$1:$H$100,I45,FALSE)</f>
        <v>#VALUE!</v>
      </c>
      <c r="C45" t="e">
        <f t="shared" si="11"/>
        <v>#VALUE!</v>
      </c>
      <c r="D45" t="e">
        <f t="shared" si="6"/>
        <v>#VALUE!</v>
      </c>
      <c r="E45" t="e">
        <f t="shared" si="12"/>
        <v>#VALUE!</v>
      </c>
      <c r="F45" t="e">
        <f>$C$3*EXP(-$A$1*EmpWorksheet!$A45)</f>
        <v>#VALUE!</v>
      </c>
      <c r="G45" t="e">
        <f>$C$3*EXP(-$A$1*EmpWorksheet!$A45)</f>
        <v>#VALUE!</v>
      </c>
      <c r="H45" t="e">
        <f>$C$3*EXP(-$A$1*EmpWorksheet!$A45)</f>
        <v>#VALUE!</v>
      </c>
      <c r="I45">
        <v>45</v>
      </c>
      <c r="J45" t="e">
        <f>((S45-EmpiricVANCOMYCINcalc!$T$11)^2)/EmpiricVANCOMYCINcalc!$T$11</f>
        <v>#VALUE!</v>
      </c>
      <c r="K45" t="e">
        <f>((T45-EmpiricVANCOMYCINcalc!$T$12)^2)/EmpiricVANCOMYCINcalc!$T$12</f>
        <v>#VALUE!</v>
      </c>
      <c r="L45" t="e">
        <f>((U45-EmpiricVANCOMYCINcalc!$T$10)^2)/EmpiricVANCOMYCINcalc!$T$10</f>
        <v>#VALUE!</v>
      </c>
      <c r="M45" s="5" t="e">
        <f t="shared" si="4"/>
        <v>#VALUE!</v>
      </c>
      <c r="N45" s="12">
        <f t="shared" si="7"/>
        <v>3500</v>
      </c>
      <c r="O45" s="12">
        <v>1750</v>
      </c>
      <c r="P45" s="12">
        <v>12</v>
      </c>
      <c r="Q45" s="12" t="str">
        <f>VLOOKUP(P45,DLsheet!$I$15:$J$20,2,FALSE)</f>
        <v>Yes</v>
      </c>
      <c r="R45" s="14">
        <f>VLOOKUP(O45,DLsheet!$E$13:$F$21,2,FALSE)</f>
        <v>2</v>
      </c>
      <c r="S45" t="e">
        <f t="shared" si="8"/>
        <v>#VALUE!</v>
      </c>
      <c r="T45" t="e">
        <f t="shared" si="9"/>
        <v>#VALUE!</v>
      </c>
      <c r="U45" t="e">
        <f t="shared" si="10"/>
        <v>#VALUE!</v>
      </c>
    </row>
    <row r="46" spans="1:21" x14ac:dyDescent="0.25">
      <c r="A46">
        <v>21.5</v>
      </c>
      <c r="B46" t="e">
        <f>HLOOKUP(EmpiricVANCOMYCINcalc!$Q$27,EmpWorksheet!$C$1:$H$100,I46,FALSE)</f>
        <v>#VALUE!</v>
      </c>
      <c r="C46" t="e">
        <f t="shared" si="11"/>
        <v>#VALUE!</v>
      </c>
      <c r="D46" t="e">
        <f t="shared" si="6"/>
        <v>#VALUE!</v>
      </c>
      <c r="E46" t="e">
        <f t="shared" si="12"/>
        <v>#VALUE!</v>
      </c>
      <c r="F46" t="e">
        <f>$C$3*EXP(-$A$1*EmpWorksheet!$A46)</f>
        <v>#VALUE!</v>
      </c>
      <c r="G46" t="e">
        <f>$C$3*EXP(-$A$1*EmpWorksheet!$A46)</f>
        <v>#VALUE!</v>
      </c>
      <c r="H46" t="e">
        <f>$C$3*EXP(-$A$1*EmpWorksheet!$A46)</f>
        <v>#VALUE!</v>
      </c>
      <c r="I46">
        <v>46</v>
      </c>
      <c r="J46" t="e">
        <f>((S46-EmpiricVANCOMYCINcalc!$T$11)^2)/EmpiricVANCOMYCINcalc!$T$11</f>
        <v>#VALUE!</v>
      </c>
      <c r="K46" t="e">
        <f>((T46-EmpiricVANCOMYCINcalc!$T$12)^2)/EmpiricVANCOMYCINcalc!$T$12</f>
        <v>#VALUE!</v>
      </c>
      <c r="L46" t="e">
        <f>((U46-EmpiricVANCOMYCINcalc!$T$10)^2)/EmpiricVANCOMYCINcalc!$T$10</f>
        <v>#VALUE!</v>
      </c>
      <c r="M46" s="5" t="e">
        <f t="shared" si="4"/>
        <v>#VALUE!</v>
      </c>
      <c r="N46" s="12">
        <f t="shared" si="7"/>
        <v>3750</v>
      </c>
      <c r="O46" s="12">
        <v>1250</v>
      </c>
      <c r="P46" s="12">
        <v>8</v>
      </c>
      <c r="Q46" s="12" t="str">
        <f>VLOOKUP(P46,DLsheet!$I$15:$J$20,2,FALSE)</f>
        <v>Yes</v>
      </c>
      <c r="R46" s="14">
        <f>VLOOKUP(O46,DLsheet!$E$13:$F$21,2,FALSE)</f>
        <v>1.5</v>
      </c>
      <c r="S46" t="e">
        <f t="shared" si="8"/>
        <v>#VALUE!</v>
      </c>
      <c r="T46" t="e">
        <f t="shared" si="9"/>
        <v>#VALUE!</v>
      </c>
      <c r="U46" t="e">
        <f t="shared" si="10"/>
        <v>#VALUE!</v>
      </c>
    </row>
    <row r="47" spans="1:21" x14ac:dyDescent="0.25">
      <c r="A47">
        <v>22</v>
      </c>
      <c r="B47" t="e">
        <f>HLOOKUP(EmpiricVANCOMYCINcalc!$Q$27,EmpWorksheet!$C$1:$H$100,I47,FALSE)</f>
        <v>#VALUE!</v>
      </c>
      <c r="C47" t="e">
        <f t="shared" si="11"/>
        <v>#VALUE!</v>
      </c>
      <c r="D47" t="e">
        <f t="shared" si="6"/>
        <v>#VALUE!</v>
      </c>
      <c r="E47" t="e">
        <f t="shared" si="12"/>
        <v>#VALUE!</v>
      </c>
      <c r="F47" t="e">
        <f>$C$3*EXP(-$A$1*EmpWorksheet!$A47)</f>
        <v>#VALUE!</v>
      </c>
      <c r="G47" t="e">
        <f>$C$3*EXP(-$A$1*EmpWorksheet!$A47)</f>
        <v>#VALUE!</v>
      </c>
      <c r="H47" t="e">
        <f>$C$3*EXP(-$A$1*EmpWorksheet!$A47)</f>
        <v>#VALUE!</v>
      </c>
      <c r="I47">
        <v>47</v>
      </c>
      <c r="J47" t="e">
        <f>((S47-EmpiricVANCOMYCINcalc!$T$11)^2)/EmpiricVANCOMYCINcalc!$T$11</f>
        <v>#VALUE!</v>
      </c>
      <c r="K47" t="e">
        <f>((T47-EmpiricVANCOMYCINcalc!$T$12)^2)/EmpiricVANCOMYCINcalc!$T$12</f>
        <v>#VALUE!</v>
      </c>
      <c r="L47" t="e">
        <f>((U47-EmpiricVANCOMYCINcalc!$T$10)^2)/EmpiricVANCOMYCINcalc!$T$10</f>
        <v>#VALUE!</v>
      </c>
      <c r="M47" s="5" t="e">
        <f t="shared" si="4"/>
        <v>#VALUE!</v>
      </c>
      <c r="N47" s="12">
        <f t="shared" si="7"/>
        <v>4000</v>
      </c>
      <c r="O47" s="12">
        <v>2000</v>
      </c>
      <c r="P47" s="12">
        <v>12</v>
      </c>
      <c r="Q47" s="12" t="str">
        <f>VLOOKUP(P47,DLsheet!$I$15:$J$20,2,FALSE)</f>
        <v>Yes</v>
      </c>
      <c r="R47" s="14">
        <f>VLOOKUP(O47,DLsheet!$E$13:$F$21,2,FALSE)</f>
        <v>2</v>
      </c>
      <c r="S47" t="e">
        <f t="shared" si="8"/>
        <v>#VALUE!</v>
      </c>
      <c r="T47" t="e">
        <f t="shared" si="9"/>
        <v>#VALUE!</v>
      </c>
      <c r="U47" t="e">
        <f t="shared" si="10"/>
        <v>#VALUE!</v>
      </c>
    </row>
    <row r="48" spans="1:21" x14ac:dyDescent="0.25">
      <c r="A48">
        <v>22.5</v>
      </c>
      <c r="B48" t="e">
        <f>HLOOKUP(EmpiricVANCOMYCINcalc!$Q$27,EmpWorksheet!$C$1:$H$100,I48,FALSE)</f>
        <v>#VALUE!</v>
      </c>
      <c r="C48" t="e">
        <f t="shared" si="11"/>
        <v>#VALUE!</v>
      </c>
      <c r="D48" t="e">
        <f t="shared" si="6"/>
        <v>#VALUE!</v>
      </c>
      <c r="E48" t="e">
        <f t="shared" si="12"/>
        <v>#VALUE!</v>
      </c>
      <c r="F48" t="e">
        <f>$C$3*EXP(-$A$1*EmpWorksheet!$A48)</f>
        <v>#VALUE!</v>
      </c>
      <c r="G48" t="e">
        <f>$C$3*EXP(-$A$1*EmpWorksheet!$A48)</f>
        <v>#VALUE!</v>
      </c>
      <c r="H48" t="e">
        <f>$C$3*EXP(-$A$1*EmpWorksheet!$A48)</f>
        <v>#VALUE!</v>
      </c>
      <c r="I48">
        <v>48</v>
      </c>
      <c r="J48" t="e">
        <f>((S48-EmpiricVANCOMYCINcalc!$T$11)^2)/EmpiricVANCOMYCINcalc!$T$11</f>
        <v>#VALUE!</v>
      </c>
      <c r="K48" t="e">
        <f>((T48-EmpiricVANCOMYCINcalc!$T$12)^2)/EmpiricVANCOMYCINcalc!$T$12</f>
        <v>#VALUE!</v>
      </c>
      <c r="L48" t="e">
        <f>((U48-EmpiricVANCOMYCINcalc!$T$10)^2)/EmpiricVANCOMYCINcalc!$T$10</f>
        <v>#VALUE!</v>
      </c>
      <c r="M48" s="5" t="e">
        <f t="shared" si="4"/>
        <v>#VALUE!</v>
      </c>
      <c r="N48" s="12">
        <f t="shared" si="7"/>
        <v>4500</v>
      </c>
      <c r="O48" s="12">
        <v>1500</v>
      </c>
      <c r="P48" s="12">
        <v>8</v>
      </c>
      <c r="Q48" s="12" t="str">
        <f>VLOOKUP(P48,DLsheet!$I$15:$J$20,2,FALSE)</f>
        <v>Yes</v>
      </c>
      <c r="R48" s="14">
        <f>VLOOKUP(O48,DLsheet!$E$13:$F$21,2,FALSE)</f>
        <v>1.5</v>
      </c>
      <c r="S48" t="e">
        <f t="shared" si="8"/>
        <v>#VALUE!</v>
      </c>
      <c r="T48" t="e">
        <f t="shared" si="9"/>
        <v>#VALUE!</v>
      </c>
      <c r="U48" t="e">
        <f t="shared" si="10"/>
        <v>#VALUE!</v>
      </c>
    </row>
    <row r="49" spans="1:21" x14ac:dyDescent="0.25">
      <c r="A49">
        <v>23</v>
      </c>
      <c r="B49" t="e">
        <f>HLOOKUP(EmpiricVANCOMYCINcalc!$Q$27,EmpWorksheet!$C$1:$H$100,I49,FALSE)</f>
        <v>#VALUE!</v>
      </c>
      <c r="C49" t="e">
        <f t="shared" si="11"/>
        <v>#VALUE!</v>
      </c>
      <c r="D49" t="e">
        <f t="shared" si="6"/>
        <v>#VALUE!</v>
      </c>
      <c r="E49" t="e">
        <f t="shared" si="12"/>
        <v>#VALUE!</v>
      </c>
      <c r="F49" t="e">
        <f>$C$3*EXP(-$A$1*EmpWorksheet!$A49)</f>
        <v>#VALUE!</v>
      </c>
      <c r="G49" t="e">
        <f>$C$3*EXP(-$A$1*EmpWorksheet!$A49)</f>
        <v>#VALUE!</v>
      </c>
      <c r="H49" t="e">
        <f>$C$3*EXP(-$A$1*EmpWorksheet!$A49)</f>
        <v>#VALUE!</v>
      </c>
      <c r="I49">
        <v>49</v>
      </c>
      <c r="J49" t="e">
        <f>((S49-EmpiricVANCOMYCINcalc!$T$11)^2)/EmpiricVANCOMYCINcalc!$T$11</f>
        <v>#VALUE!</v>
      </c>
      <c r="K49" t="e">
        <f>((T49-EmpiricVANCOMYCINcalc!$T$12)^2)/EmpiricVANCOMYCINcalc!$T$12</f>
        <v>#VALUE!</v>
      </c>
      <c r="L49" t="e">
        <f>((U49-EmpiricVANCOMYCINcalc!$T$10)^2)/EmpiricVANCOMYCINcalc!$T$10</f>
        <v>#VALUE!</v>
      </c>
      <c r="M49" s="5" t="e">
        <f t="shared" si="4"/>
        <v>#VALUE!</v>
      </c>
      <c r="N49" s="12">
        <f t="shared" si="7"/>
        <v>4500</v>
      </c>
      <c r="O49" s="12">
        <v>2250</v>
      </c>
      <c r="P49" s="12">
        <v>12</v>
      </c>
      <c r="Q49" s="12" t="str">
        <f>VLOOKUP(P49,DLsheet!$I$15:$J$20,2,FALSE)</f>
        <v>Yes</v>
      </c>
      <c r="R49" s="14">
        <f>VLOOKUP(O49,DLsheet!$E$13:$F$21,2,FALSE)</f>
        <v>2.5</v>
      </c>
      <c r="S49" t="e">
        <f t="shared" si="8"/>
        <v>#VALUE!</v>
      </c>
      <c r="T49" t="e">
        <f t="shared" si="9"/>
        <v>#VALUE!</v>
      </c>
      <c r="U49" t="e">
        <f t="shared" si="10"/>
        <v>#VALUE!</v>
      </c>
    </row>
    <row r="50" spans="1:21" x14ac:dyDescent="0.25">
      <c r="A50">
        <v>23.5</v>
      </c>
      <c r="B50" t="e">
        <f>HLOOKUP(EmpiricVANCOMYCINcalc!$Q$27,EmpWorksheet!$C$1:$H$100,I50,FALSE)</f>
        <v>#VALUE!</v>
      </c>
      <c r="C50" t="e">
        <f t="shared" si="11"/>
        <v>#VALUE!</v>
      </c>
      <c r="D50" t="e">
        <f t="shared" si="6"/>
        <v>#VALUE!</v>
      </c>
      <c r="E50" t="e">
        <f t="shared" si="12"/>
        <v>#VALUE!</v>
      </c>
      <c r="F50" t="e">
        <f>$C$3*EXP(-$A$1*EmpWorksheet!$A50)</f>
        <v>#VALUE!</v>
      </c>
      <c r="G50" t="e">
        <f>$C$3*EXP(-$A$1*EmpWorksheet!$A50)</f>
        <v>#VALUE!</v>
      </c>
      <c r="H50" t="e">
        <f>$C$3*EXP(-$A$1*EmpWorksheet!$A50)</f>
        <v>#VALUE!</v>
      </c>
      <c r="I50">
        <v>50</v>
      </c>
      <c r="J50" t="e">
        <f>((S50-EmpiricVANCOMYCINcalc!$T$11)^2)/EmpiricVANCOMYCINcalc!$T$11</f>
        <v>#VALUE!</v>
      </c>
      <c r="K50" t="e">
        <f>((T50-EmpiricVANCOMYCINcalc!$T$12)^2)/EmpiricVANCOMYCINcalc!$T$12</f>
        <v>#VALUE!</v>
      </c>
      <c r="L50" t="e">
        <f>((U50-EmpiricVANCOMYCINcalc!$T$10)^2)/EmpiricVANCOMYCINcalc!$T$10</f>
        <v>#VALUE!</v>
      </c>
      <c r="M50" s="5" t="e">
        <f t="shared" si="4"/>
        <v>#VALUE!</v>
      </c>
      <c r="N50" s="12">
        <f t="shared" si="7"/>
        <v>5000</v>
      </c>
      <c r="O50" s="12">
        <v>2500</v>
      </c>
      <c r="P50" s="12">
        <v>12</v>
      </c>
      <c r="Q50" s="12" t="str">
        <f>VLOOKUP(P50,DLsheet!$I$15:$J$20,2,FALSE)</f>
        <v>Yes</v>
      </c>
      <c r="R50" s="14">
        <f>VLOOKUP(O50,DLsheet!$E$13:$F$21,2,FALSE)</f>
        <v>2.5</v>
      </c>
      <c r="S50" t="e">
        <f t="shared" si="8"/>
        <v>#VALUE!</v>
      </c>
      <c r="T50" t="e">
        <f t="shared" si="9"/>
        <v>#VALUE!</v>
      </c>
      <c r="U50" t="e">
        <f t="shared" si="10"/>
        <v>#VALUE!</v>
      </c>
    </row>
    <row r="51" spans="1:21" x14ac:dyDescent="0.25">
      <c r="A51">
        <v>24</v>
      </c>
      <c r="B51" t="e">
        <f>HLOOKUP(EmpiricVANCOMYCINcalc!$Q$27,EmpWorksheet!$C$1:$H$100,I51,FALSE)</f>
        <v>#VALUE!</v>
      </c>
      <c r="C51" t="e">
        <f t="shared" si="11"/>
        <v>#VALUE!</v>
      </c>
      <c r="D51" t="e">
        <f t="shared" si="6"/>
        <v>#VALUE!</v>
      </c>
      <c r="E51" t="e">
        <f t="shared" si="12"/>
        <v>#VALUE!</v>
      </c>
      <c r="F51" t="e">
        <f>$C$3*EXP(-$A$1*EmpWorksheet!$A51)</f>
        <v>#VALUE!</v>
      </c>
      <c r="G51" t="e">
        <f>$C$3*EXP(-$A$1*EmpWorksheet!$A51)</f>
        <v>#VALUE!</v>
      </c>
      <c r="H51" t="e">
        <f>$C$3*EXP(-$A$1*EmpWorksheet!$A51)</f>
        <v>#VALUE!</v>
      </c>
      <c r="I51">
        <v>51</v>
      </c>
      <c r="J51" t="e">
        <f>((S51-EmpiricVANCOMYCINcalc!$T$11)^2)/EmpiricVANCOMYCINcalc!$T$11</f>
        <v>#VALUE!</v>
      </c>
      <c r="K51" t="e">
        <f>((T51-EmpiricVANCOMYCINcalc!$T$12)^2)/EmpiricVANCOMYCINcalc!$T$12</f>
        <v>#VALUE!</v>
      </c>
      <c r="L51" t="e">
        <f>((U51-EmpiricVANCOMYCINcalc!$T$10)^2)/EmpiricVANCOMYCINcalc!$T$10</f>
        <v>#VALUE!</v>
      </c>
      <c r="M51" s="5" t="e">
        <f t="shared" si="4"/>
        <v>#VALUE!</v>
      </c>
      <c r="N51" s="12">
        <f t="shared" si="7"/>
        <v>5250</v>
      </c>
      <c r="O51" s="12">
        <v>1750</v>
      </c>
      <c r="P51" s="12">
        <v>8</v>
      </c>
      <c r="Q51" s="12" t="str">
        <f>VLOOKUP(P51,DLsheet!$I$15:$J$20,2,FALSE)</f>
        <v>Yes</v>
      </c>
      <c r="R51" s="14">
        <f>VLOOKUP(O51,DLsheet!$E$13:$F$21,2,FALSE)</f>
        <v>2</v>
      </c>
      <c r="S51" t="e">
        <f t="shared" si="8"/>
        <v>#VALUE!</v>
      </c>
      <c r="T51" t="e">
        <f t="shared" si="9"/>
        <v>#VALUE!</v>
      </c>
      <c r="U51" t="e">
        <f t="shared" si="10"/>
        <v>#VALUE!</v>
      </c>
    </row>
    <row r="52" spans="1:21" x14ac:dyDescent="0.25">
      <c r="A52">
        <v>24.5</v>
      </c>
      <c r="B52" t="e">
        <f>HLOOKUP(EmpiricVANCOMYCINcalc!$Q$27,EmpWorksheet!$C$1:$H$100,I52,FALSE)</f>
        <v>#VALUE!</v>
      </c>
      <c r="C52" t="e">
        <f>C51+C3</f>
        <v>#VALUE!</v>
      </c>
      <c r="D52" t="e">
        <f>D51+D3</f>
        <v>#VALUE!</v>
      </c>
      <c r="E52" t="e">
        <f t="shared" si="12"/>
        <v>#VALUE!</v>
      </c>
      <c r="F52" t="e">
        <f>F51+F3</f>
        <v>#VALUE!</v>
      </c>
      <c r="G52" t="e">
        <f>$C$3*EXP(-$A$1*EmpWorksheet!$A52)</f>
        <v>#VALUE!</v>
      </c>
      <c r="H52" t="e">
        <f>$C$3*EXP(-$A$1*EmpWorksheet!$A52)</f>
        <v>#VALUE!</v>
      </c>
      <c r="I52">
        <v>52</v>
      </c>
      <c r="J52" t="e">
        <f>((S52-EmpiricVANCOMYCINcalc!$T$11)^2)/EmpiricVANCOMYCINcalc!$T$11</f>
        <v>#VALUE!</v>
      </c>
      <c r="K52" t="e">
        <f>((T52-EmpiricVANCOMYCINcalc!$T$12)^2)/EmpiricVANCOMYCINcalc!$T$12</f>
        <v>#VALUE!</v>
      </c>
      <c r="L52" t="e">
        <f>((U52-EmpiricVANCOMYCINcalc!$T$10)^2)/EmpiricVANCOMYCINcalc!$T$10</f>
        <v>#VALUE!</v>
      </c>
      <c r="M52" s="5" t="e">
        <f t="shared" si="4"/>
        <v>#VALUE!</v>
      </c>
      <c r="N52" s="12">
        <f t="shared" si="7"/>
        <v>6000</v>
      </c>
      <c r="O52" s="12">
        <v>2000</v>
      </c>
      <c r="P52" s="12">
        <v>8</v>
      </c>
      <c r="Q52" s="12" t="str">
        <f>VLOOKUP(P52,DLsheet!$I$15:$J$20,2,FALSE)</f>
        <v>Yes</v>
      </c>
      <c r="R52" s="14">
        <f>VLOOKUP(O52,DLsheet!$E$13:$F$21,2,FALSE)</f>
        <v>2</v>
      </c>
      <c r="S52" t="e">
        <f t="shared" si="8"/>
        <v>#VALUE!</v>
      </c>
      <c r="T52" t="e">
        <f t="shared" si="9"/>
        <v>#VALUE!</v>
      </c>
      <c r="U52" t="e">
        <f t="shared" si="10"/>
        <v>#VALUE!</v>
      </c>
    </row>
    <row r="53" spans="1:21" x14ac:dyDescent="0.25">
      <c r="A53">
        <v>25</v>
      </c>
      <c r="B53" t="e">
        <f>HLOOKUP(EmpiricVANCOMYCINcalc!$Q$27,EmpWorksheet!$C$1:$H$100,I53,FALSE)</f>
        <v>#VALUE!</v>
      </c>
      <c r="C53" t="e">
        <f t="shared" ref="C53:C67" si="13">$C$52*EXP(-$A$1*(A53-24.5))</f>
        <v>#VALUE!</v>
      </c>
      <c r="D53" t="e">
        <f t="shared" ref="D53:D75" si="14">$D$52*EXP(-$A$1*(A53-24.5))</f>
        <v>#VALUE!</v>
      </c>
      <c r="E53" t="e">
        <f t="shared" si="12"/>
        <v>#VALUE!</v>
      </c>
      <c r="F53" t="e">
        <f t="shared" ref="F53:F99" si="15">$F$52*EXP(-$A$1*(A53-24.5))</f>
        <v>#VALUE!</v>
      </c>
      <c r="G53" t="e">
        <f>$C$3*EXP(-$A$1*EmpWorksheet!$A53)</f>
        <v>#VALUE!</v>
      </c>
      <c r="H53" t="e">
        <f>$C$3*EXP(-$A$1*EmpWorksheet!$A53)</f>
        <v>#VALUE!</v>
      </c>
      <c r="I53">
        <v>53</v>
      </c>
      <c r="J53" t="e">
        <f>((S53-EmpiricVANCOMYCINcalc!$T$11)^2)/EmpiricVANCOMYCINcalc!$T$11</f>
        <v>#VALUE!</v>
      </c>
      <c r="K53" t="e">
        <f>((T53-EmpiricVANCOMYCINcalc!$T$12)^2)/EmpiricVANCOMYCINcalc!$T$12</f>
        <v>#VALUE!</v>
      </c>
      <c r="L53" t="e">
        <f>((U53-EmpiricVANCOMYCINcalc!$T$10)^2)/EmpiricVANCOMYCINcalc!$T$10</f>
        <v>#VALUE!</v>
      </c>
      <c r="M53" s="5" t="e">
        <f t="shared" si="4"/>
        <v>#VALUE!</v>
      </c>
      <c r="N53" s="12">
        <f t="shared" si="7"/>
        <v>6750</v>
      </c>
      <c r="O53" s="12">
        <v>2250</v>
      </c>
      <c r="P53" s="12">
        <v>8</v>
      </c>
      <c r="Q53" s="12" t="str">
        <f>VLOOKUP(P53,DLsheet!$I$15:$J$20,2,FALSE)</f>
        <v>Yes</v>
      </c>
      <c r="R53" s="14">
        <f>VLOOKUP(O53,DLsheet!$E$13:$F$21,2,FALSE)</f>
        <v>2.5</v>
      </c>
      <c r="S53" t="e">
        <f t="shared" si="8"/>
        <v>#VALUE!</v>
      </c>
      <c r="T53" t="e">
        <f t="shared" si="9"/>
        <v>#VALUE!</v>
      </c>
      <c r="U53" t="e">
        <f t="shared" si="10"/>
        <v>#VALUE!</v>
      </c>
    </row>
    <row r="54" spans="1:21" x14ac:dyDescent="0.25">
      <c r="A54">
        <v>25.5</v>
      </c>
      <c r="B54" t="e">
        <f>HLOOKUP(EmpiricVANCOMYCINcalc!$Q$27,EmpWorksheet!$C$1:$H$100,I54,FALSE)</f>
        <v>#VALUE!</v>
      </c>
      <c r="C54" t="e">
        <f t="shared" si="13"/>
        <v>#VALUE!</v>
      </c>
      <c r="D54" t="e">
        <f t="shared" si="14"/>
        <v>#VALUE!</v>
      </c>
      <c r="E54" t="e">
        <f t="shared" si="12"/>
        <v>#VALUE!</v>
      </c>
      <c r="F54" t="e">
        <f t="shared" si="15"/>
        <v>#VALUE!</v>
      </c>
      <c r="G54" t="e">
        <f>$C$3*EXP(-$A$1*EmpWorksheet!$A54)</f>
        <v>#VALUE!</v>
      </c>
      <c r="H54" t="e">
        <f>$C$3*EXP(-$A$1*EmpWorksheet!$A54)</f>
        <v>#VALUE!</v>
      </c>
      <c r="I54">
        <v>54</v>
      </c>
      <c r="J54" t="e">
        <f>((S54-EmpiricVANCOMYCINcalc!$T$11)^2)/EmpiricVANCOMYCINcalc!$T$11</f>
        <v>#VALUE!</v>
      </c>
      <c r="K54" t="e">
        <f>((T54-EmpiricVANCOMYCINcalc!$T$12)^2)/EmpiricVANCOMYCINcalc!$T$12</f>
        <v>#VALUE!</v>
      </c>
      <c r="L54" t="e">
        <f>((U54-EmpiricVANCOMYCINcalc!$T$10)^2)/EmpiricVANCOMYCINcalc!$T$10</f>
        <v>#VALUE!</v>
      </c>
      <c r="M54" s="5" t="e">
        <f t="shared" si="4"/>
        <v>#VALUE!</v>
      </c>
      <c r="N54" s="12">
        <f t="shared" si="7"/>
        <v>7500</v>
      </c>
      <c r="O54" s="12">
        <v>2500</v>
      </c>
      <c r="P54" s="12">
        <v>8</v>
      </c>
      <c r="Q54" s="12" t="str">
        <f>VLOOKUP(P54,DLsheet!$I$15:$J$20,2,FALSE)</f>
        <v>Yes</v>
      </c>
      <c r="R54" s="14">
        <f>VLOOKUP(O54,DLsheet!$E$13:$F$21,2,FALSE)</f>
        <v>2.5</v>
      </c>
      <c r="S54" t="e">
        <f t="shared" si="8"/>
        <v>#VALUE!</v>
      </c>
      <c r="T54" t="e">
        <f t="shared" si="9"/>
        <v>#VALUE!</v>
      </c>
      <c r="U54" t="e">
        <f t="shared" si="10"/>
        <v>#VALUE!</v>
      </c>
    </row>
    <row r="55" spans="1:21" x14ac:dyDescent="0.25">
      <c r="A55">
        <v>26</v>
      </c>
      <c r="B55" t="e">
        <f>HLOOKUP(EmpiricVANCOMYCINcalc!$Q$27,EmpWorksheet!$C$1:$H$100,I55,FALSE)</f>
        <v>#VALUE!</v>
      </c>
      <c r="C55" t="e">
        <f t="shared" si="13"/>
        <v>#VALUE!</v>
      </c>
      <c r="D55" t="e">
        <f t="shared" si="14"/>
        <v>#VALUE!</v>
      </c>
      <c r="E55" t="e">
        <f t="shared" si="12"/>
        <v>#VALUE!</v>
      </c>
      <c r="F55" t="e">
        <f t="shared" si="15"/>
        <v>#VALUE!</v>
      </c>
      <c r="G55" t="e">
        <f>$C$3*EXP(-$A$1*EmpWorksheet!$A55)</f>
        <v>#VALUE!</v>
      </c>
      <c r="H55" t="e">
        <f>$C$3*EXP(-$A$1*EmpWorksheet!$A55)</f>
        <v>#VALUE!</v>
      </c>
      <c r="I55">
        <v>55</v>
      </c>
      <c r="Q55" s="12" t="e">
        <f>VLOOKUP(P55,DLsheet!$I$15:$J$20,2,FALSE)</f>
        <v>#N/A</v>
      </c>
    </row>
    <row r="56" spans="1:21" x14ac:dyDescent="0.25">
      <c r="A56">
        <v>26.5</v>
      </c>
      <c r="B56" t="e">
        <f>HLOOKUP(EmpiricVANCOMYCINcalc!$Q$27,EmpWorksheet!$C$1:$H$100,I56,FALSE)</f>
        <v>#VALUE!</v>
      </c>
      <c r="C56" t="e">
        <f t="shared" si="13"/>
        <v>#VALUE!</v>
      </c>
      <c r="D56" t="e">
        <f t="shared" si="14"/>
        <v>#VALUE!</v>
      </c>
      <c r="E56" t="e">
        <f t="shared" si="12"/>
        <v>#VALUE!</v>
      </c>
      <c r="F56" t="e">
        <f t="shared" si="15"/>
        <v>#VALUE!</v>
      </c>
      <c r="G56" t="e">
        <f>$C$3*EXP(-$A$1*EmpWorksheet!$A56)</f>
        <v>#VALUE!</v>
      </c>
      <c r="H56" t="e">
        <f>$C$3*EXP(-$A$1*EmpWorksheet!$A56)</f>
        <v>#VALUE!</v>
      </c>
      <c r="I56">
        <v>56</v>
      </c>
      <c r="Q56" s="12" t="e">
        <f>VLOOKUP(P56,DLsheet!$I$15:$J$20,2,FALSE)</f>
        <v>#N/A</v>
      </c>
    </row>
    <row r="57" spans="1:21" x14ac:dyDescent="0.25">
      <c r="A57">
        <v>27</v>
      </c>
      <c r="B57" t="e">
        <f>HLOOKUP(EmpiricVANCOMYCINcalc!$Q$27,EmpWorksheet!$C$1:$H$100,I57,FALSE)</f>
        <v>#VALUE!</v>
      </c>
      <c r="C57" t="e">
        <f t="shared" si="13"/>
        <v>#VALUE!</v>
      </c>
      <c r="D57" t="e">
        <f t="shared" si="14"/>
        <v>#VALUE!</v>
      </c>
      <c r="E57" t="e">
        <f t="shared" si="12"/>
        <v>#VALUE!</v>
      </c>
      <c r="F57" t="e">
        <f t="shared" si="15"/>
        <v>#VALUE!</v>
      </c>
      <c r="G57" t="e">
        <f>$C$3*EXP(-$A$1*EmpWorksheet!$A57)</f>
        <v>#VALUE!</v>
      </c>
      <c r="H57" t="e">
        <f>$C$3*EXP(-$A$1*EmpWorksheet!$A57)</f>
        <v>#VALUE!</v>
      </c>
      <c r="I57">
        <v>57</v>
      </c>
      <c r="Q57" s="12" t="e">
        <f>VLOOKUP(P57,DLsheet!$I$15:$J$20,2,FALSE)</f>
        <v>#N/A</v>
      </c>
    </row>
    <row r="58" spans="1:21" x14ac:dyDescent="0.25">
      <c r="A58">
        <v>27.5</v>
      </c>
      <c r="B58" t="e">
        <f>HLOOKUP(EmpiricVANCOMYCINcalc!$Q$27,EmpWorksheet!$C$1:$H$100,I58,FALSE)</f>
        <v>#VALUE!</v>
      </c>
      <c r="C58" t="e">
        <f t="shared" si="13"/>
        <v>#VALUE!</v>
      </c>
      <c r="D58" t="e">
        <f t="shared" si="14"/>
        <v>#VALUE!</v>
      </c>
      <c r="E58" t="e">
        <f t="shared" si="12"/>
        <v>#VALUE!</v>
      </c>
      <c r="F58" t="e">
        <f t="shared" si="15"/>
        <v>#VALUE!</v>
      </c>
      <c r="G58" t="e">
        <f>$C$3*EXP(-$A$1*EmpWorksheet!$A58)</f>
        <v>#VALUE!</v>
      </c>
      <c r="H58" t="e">
        <f>$C$3*EXP(-$A$1*EmpWorksheet!$A58)</f>
        <v>#VALUE!</v>
      </c>
      <c r="I58">
        <v>58</v>
      </c>
      <c r="Q58" s="12" t="e">
        <f>VLOOKUP(P58,DLsheet!$I$15:$J$20,2,FALSE)</f>
        <v>#N/A</v>
      </c>
    </row>
    <row r="59" spans="1:21" x14ac:dyDescent="0.25">
      <c r="A59">
        <v>28</v>
      </c>
      <c r="B59" t="e">
        <f>HLOOKUP(EmpiricVANCOMYCINcalc!$Q$27,EmpWorksheet!$C$1:$H$100,I59,FALSE)</f>
        <v>#VALUE!</v>
      </c>
      <c r="C59" t="e">
        <f t="shared" si="13"/>
        <v>#VALUE!</v>
      </c>
      <c r="D59" t="e">
        <f t="shared" si="14"/>
        <v>#VALUE!</v>
      </c>
      <c r="E59" t="e">
        <f t="shared" si="12"/>
        <v>#VALUE!</v>
      </c>
      <c r="F59" t="e">
        <f t="shared" si="15"/>
        <v>#VALUE!</v>
      </c>
      <c r="G59" t="e">
        <f>$C$3*EXP(-$A$1*EmpWorksheet!$A59)</f>
        <v>#VALUE!</v>
      </c>
      <c r="H59" t="e">
        <f>$C$3*EXP(-$A$1*EmpWorksheet!$A59)</f>
        <v>#VALUE!</v>
      </c>
      <c r="I59">
        <v>59</v>
      </c>
      <c r="Q59" s="12" t="e">
        <f>VLOOKUP(P59,DLsheet!$I$15:$J$20,2,FALSE)</f>
        <v>#N/A</v>
      </c>
    </row>
    <row r="60" spans="1:21" x14ac:dyDescent="0.25">
      <c r="A60">
        <v>28.5</v>
      </c>
      <c r="B60" t="e">
        <f>HLOOKUP(EmpiricVANCOMYCINcalc!$Q$27,EmpWorksheet!$C$1:$H$100,I60,FALSE)</f>
        <v>#VALUE!</v>
      </c>
      <c r="C60" t="e">
        <f t="shared" si="13"/>
        <v>#VALUE!</v>
      </c>
      <c r="D60" t="e">
        <f t="shared" si="14"/>
        <v>#VALUE!</v>
      </c>
      <c r="E60" t="e">
        <f t="shared" si="12"/>
        <v>#VALUE!</v>
      </c>
      <c r="F60" t="e">
        <f t="shared" si="15"/>
        <v>#VALUE!</v>
      </c>
      <c r="G60" t="e">
        <f>$C$3*EXP(-$A$1*EmpWorksheet!$A60)</f>
        <v>#VALUE!</v>
      </c>
      <c r="H60" t="e">
        <f>$C$3*EXP(-$A$1*EmpWorksheet!$A60)</f>
        <v>#VALUE!</v>
      </c>
      <c r="I60">
        <v>60</v>
      </c>
      <c r="Q60" s="12" t="e">
        <f>VLOOKUP(P60,DLsheet!$I$15:$J$20,2,FALSE)</f>
        <v>#N/A</v>
      </c>
    </row>
    <row r="61" spans="1:21" x14ac:dyDescent="0.25">
      <c r="A61">
        <v>29</v>
      </c>
      <c r="B61" t="e">
        <f>HLOOKUP(EmpiricVANCOMYCINcalc!$Q$27,EmpWorksheet!$C$1:$H$100,I61,FALSE)</f>
        <v>#VALUE!</v>
      </c>
      <c r="C61" t="e">
        <f t="shared" si="13"/>
        <v>#VALUE!</v>
      </c>
      <c r="D61" t="e">
        <f t="shared" si="14"/>
        <v>#VALUE!</v>
      </c>
      <c r="E61" t="e">
        <f t="shared" si="12"/>
        <v>#VALUE!</v>
      </c>
      <c r="F61" t="e">
        <f t="shared" si="15"/>
        <v>#VALUE!</v>
      </c>
      <c r="G61" t="e">
        <f>$C$3*EXP(-$A$1*EmpWorksheet!$A61)</f>
        <v>#VALUE!</v>
      </c>
      <c r="H61" t="e">
        <f>$C$3*EXP(-$A$1*EmpWorksheet!$A61)</f>
        <v>#VALUE!</v>
      </c>
      <c r="I61">
        <v>61</v>
      </c>
      <c r="Q61" s="12" t="e">
        <f>VLOOKUP(P61,DLsheet!$I$15:$J$20,2,FALSE)</f>
        <v>#N/A</v>
      </c>
    </row>
    <row r="62" spans="1:21" x14ac:dyDescent="0.25">
      <c r="A62">
        <v>29.5</v>
      </c>
      <c r="B62" t="e">
        <f>HLOOKUP(EmpiricVANCOMYCINcalc!$Q$27,EmpWorksheet!$C$1:$H$100,I62,FALSE)</f>
        <v>#VALUE!</v>
      </c>
      <c r="C62" t="e">
        <f t="shared" si="13"/>
        <v>#VALUE!</v>
      </c>
      <c r="D62" t="e">
        <f t="shared" si="14"/>
        <v>#VALUE!</v>
      </c>
      <c r="E62" t="e">
        <f t="shared" si="12"/>
        <v>#VALUE!</v>
      </c>
      <c r="F62" t="e">
        <f t="shared" si="15"/>
        <v>#VALUE!</v>
      </c>
      <c r="G62" t="e">
        <f>$C$3*EXP(-$A$1*EmpWorksheet!$A62)</f>
        <v>#VALUE!</v>
      </c>
      <c r="H62" t="e">
        <f>$C$3*EXP(-$A$1*EmpWorksheet!$A62)</f>
        <v>#VALUE!</v>
      </c>
      <c r="I62">
        <v>62</v>
      </c>
      <c r="Q62" s="12" t="e">
        <f>VLOOKUP(P62,DLsheet!$I$15:$J$20,2,FALSE)</f>
        <v>#N/A</v>
      </c>
    </row>
    <row r="63" spans="1:21" x14ac:dyDescent="0.25">
      <c r="A63">
        <v>30</v>
      </c>
      <c r="B63" t="e">
        <f>HLOOKUP(EmpiricVANCOMYCINcalc!$Q$27,EmpWorksheet!$C$1:$H$100,I63,FALSE)</f>
        <v>#VALUE!</v>
      </c>
      <c r="C63" t="e">
        <f t="shared" si="13"/>
        <v>#VALUE!</v>
      </c>
      <c r="D63" t="e">
        <f t="shared" si="14"/>
        <v>#VALUE!</v>
      </c>
      <c r="E63" t="e">
        <f t="shared" si="12"/>
        <v>#VALUE!</v>
      </c>
      <c r="F63" t="e">
        <f t="shared" si="15"/>
        <v>#VALUE!</v>
      </c>
      <c r="G63" t="e">
        <f>$C$3*EXP(-$A$1*EmpWorksheet!$A63)</f>
        <v>#VALUE!</v>
      </c>
      <c r="H63" t="e">
        <f>$C$3*EXP(-$A$1*EmpWorksheet!$A63)</f>
        <v>#VALUE!</v>
      </c>
      <c r="I63">
        <v>63</v>
      </c>
      <c r="Q63" s="12" t="e">
        <f>VLOOKUP(P63,DLsheet!$I$15:$J$20,2,FALSE)</f>
        <v>#N/A</v>
      </c>
    </row>
    <row r="64" spans="1:21" x14ac:dyDescent="0.25">
      <c r="A64">
        <v>30.5</v>
      </c>
      <c r="B64" t="e">
        <f>HLOOKUP(EmpiricVANCOMYCINcalc!$Q$27,EmpWorksheet!$C$1:$H$100,I64,FALSE)</f>
        <v>#VALUE!</v>
      </c>
      <c r="C64" t="e">
        <f t="shared" si="13"/>
        <v>#VALUE!</v>
      </c>
      <c r="D64" t="e">
        <f t="shared" si="14"/>
        <v>#VALUE!</v>
      </c>
      <c r="E64" t="e">
        <f t="shared" si="12"/>
        <v>#VALUE!</v>
      </c>
      <c r="F64" t="e">
        <f t="shared" si="15"/>
        <v>#VALUE!</v>
      </c>
      <c r="G64" t="e">
        <f>$C$3*EXP(-$A$1*EmpWorksheet!$A64)</f>
        <v>#VALUE!</v>
      </c>
      <c r="H64" t="e">
        <f>$C$3*EXP(-$A$1*EmpWorksheet!$A64)</f>
        <v>#VALUE!</v>
      </c>
      <c r="I64">
        <v>64</v>
      </c>
      <c r="Q64" s="12" t="e">
        <f>VLOOKUP(P64,DLsheet!$I$15:$J$20,2,FALSE)</f>
        <v>#N/A</v>
      </c>
    </row>
    <row r="65" spans="1:17" x14ac:dyDescent="0.25">
      <c r="A65">
        <v>31</v>
      </c>
      <c r="B65" t="e">
        <f>HLOOKUP(EmpiricVANCOMYCINcalc!$Q$27,EmpWorksheet!$C$1:$H$100,I65,FALSE)</f>
        <v>#VALUE!</v>
      </c>
      <c r="C65" t="e">
        <f t="shared" si="13"/>
        <v>#VALUE!</v>
      </c>
      <c r="D65" t="e">
        <f t="shared" si="14"/>
        <v>#VALUE!</v>
      </c>
      <c r="E65" t="e">
        <f t="shared" si="12"/>
        <v>#VALUE!</v>
      </c>
      <c r="F65" t="e">
        <f t="shared" si="15"/>
        <v>#VALUE!</v>
      </c>
      <c r="G65" t="e">
        <f>$C$3*EXP(-$A$1*EmpWorksheet!$A65)</f>
        <v>#VALUE!</v>
      </c>
      <c r="H65" t="e">
        <f>$C$3*EXP(-$A$1*EmpWorksheet!$A65)</f>
        <v>#VALUE!</v>
      </c>
      <c r="I65">
        <v>65</v>
      </c>
      <c r="Q65" s="12" t="e">
        <f>VLOOKUP(P65,DLsheet!$I$15:$J$20,2,FALSE)</f>
        <v>#N/A</v>
      </c>
    </row>
    <row r="66" spans="1:17" x14ac:dyDescent="0.25">
      <c r="A66">
        <v>31.5</v>
      </c>
      <c r="B66" t="e">
        <f>HLOOKUP(EmpiricVANCOMYCINcalc!$Q$27,EmpWorksheet!$C$1:$H$100,I66,FALSE)</f>
        <v>#VALUE!</v>
      </c>
      <c r="C66" t="e">
        <f t="shared" si="13"/>
        <v>#VALUE!</v>
      </c>
      <c r="D66" t="e">
        <f t="shared" si="14"/>
        <v>#VALUE!</v>
      </c>
      <c r="E66" t="e">
        <f t="shared" si="12"/>
        <v>#VALUE!</v>
      </c>
      <c r="F66" t="e">
        <f t="shared" si="15"/>
        <v>#VALUE!</v>
      </c>
      <c r="G66" t="e">
        <f>$C$3*EXP(-$A$1*EmpWorksheet!$A66)</f>
        <v>#VALUE!</v>
      </c>
      <c r="H66" t="e">
        <f>$C$3*EXP(-$A$1*EmpWorksheet!$A66)</f>
        <v>#VALUE!</v>
      </c>
      <c r="I66">
        <v>66</v>
      </c>
      <c r="Q66" s="12" t="e">
        <f>VLOOKUP(P66,DLsheet!$I$15:$J$20,2,FALSE)</f>
        <v>#N/A</v>
      </c>
    </row>
    <row r="67" spans="1:17" x14ac:dyDescent="0.25">
      <c r="A67">
        <v>32</v>
      </c>
      <c r="B67" t="e">
        <f>HLOOKUP(EmpiricVANCOMYCINcalc!$Q$27,EmpWorksheet!$C$1:$H$100,I67,FALSE)</f>
        <v>#VALUE!</v>
      </c>
      <c r="C67" t="e">
        <f t="shared" si="13"/>
        <v>#VALUE!</v>
      </c>
      <c r="D67" t="e">
        <f t="shared" si="14"/>
        <v>#VALUE!</v>
      </c>
      <c r="E67" t="e">
        <f t="shared" si="12"/>
        <v>#VALUE!</v>
      </c>
      <c r="F67" t="e">
        <f t="shared" si="15"/>
        <v>#VALUE!</v>
      </c>
      <c r="G67" t="e">
        <f>$C$3*EXP(-$A$1*EmpWorksheet!$A67)</f>
        <v>#VALUE!</v>
      </c>
      <c r="H67" t="e">
        <f>$C$3*EXP(-$A$1*EmpWorksheet!$A67)</f>
        <v>#VALUE!</v>
      </c>
      <c r="I67">
        <v>67</v>
      </c>
      <c r="Q67" s="12" t="e">
        <f>VLOOKUP(P67,DLsheet!$I$15:$J$20,2,FALSE)</f>
        <v>#N/A</v>
      </c>
    </row>
    <row r="68" spans="1:17" x14ac:dyDescent="0.25">
      <c r="A68">
        <v>32.5</v>
      </c>
      <c r="B68" t="e">
        <f>HLOOKUP(EmpiricVANCOMYCINcalc!$Q$27,EmpWorksheet!$C$1:$H$100,I68,FALSE)</f>
        <v>#VALUE!</v>
      </c>
      <c r="C68" t="e">
        <f>$C$67+C3</f>
        <v>#VALUE!</v>
      </c>
      <c r="D68" t="e">
        <f t="shared" si="14"/>
        <v>#VALUE!</v>
      </c>
      <c r="E68" t="e">
        <f>E3+E67</f>
        <v>#VALUE!</v>
      </c>
      <c r="F68" t="e">
        <f t="shared" si="15"/>
        <v>#VALUE!</v>
      </c>
      <c r="G68" t="e">
        <f>$C$3*EXP(-$A$1*EmpWorksheet!$A68)</f>
        <v>#VALUE!</v>
      </c>
      <c r="H68" t="e">
        <f>$C$3*EXP(-$A$1*EmpWorksheet!$A68)</f>
        <v>#VALUE!</v>
      </c>
      <c r="I68">
        <v>68</v>
      </c>
      <c r="Q68" s="12" t="e">
        <f>VLOOKUP(P68,DLsheet!$I$15:$J$20,2,FALSE)</f>
        <v>#N/A</v>
      </c>
    </row>
    <row r="69" spans="1:17" x14ac:dyDescent="0.25">
      <c r="A69">
        <v>33</v>
      </c>
      <c r="B69" t="e">
        <f>HLOOKUP(EmpiricVANCOMYCINcalc!$Q$27,EmpWorksheet!$C$1:$H$100,I69,FALSE)</f>
        <v>#VALUE!</v>
      </c>
      <c r="C69" t="e">
        <f t="shared" ref="C69:C83" si="16">$C$68*EXP(-$A$1*(A69-32.5))</f>
        <v>#VALUE!</v>
      </c>
      <c r="D69" t="e">
        <f t="shared" si="14"/>
        <v>#VALUE!</v>
      </c>
      <c r="E69" t="e">
        <f t="shared" ref="E69:E100" si="17">$E$68*EXP(-$A$1*(A69-32.5))</f>
        <v>#VALUE!</v>
      </c>
      <c r="F69" t="e">
        <f t="shared" si="15"/>
        <v>#VALUE!</v>
      </c>
      <c r="G69" t="e">
        <f>$C$3*EXP(-$A$1*EmpWorksheet!$A69)</f>
        <v>#VALUE!</v>
      </c>
      <c r="H69" t="e">
        <f>$C$3*EXP(-$A$1*EmpWorksheet!$A69)</f>
        <v>#VALUE!</v>
      </c>
      <c r="I69">
        <v>69</v>
      </c>
      <c r="Q69" s="12" t="e">
        <f>VLOOKUP(P69,DLsheet!$I$15:$J$20,2,FALSE)</f>
        <v>#N/A</v>
      </c>
    </row>
    <row r="70" spans="1:17" x14ac:dyDescent="0.25">
      <c r="A70">
        <v>33.5</v>
      </c>
      <c r="B70" t="e">
        <f>HLOOKUP(EmpiricVANCOMYCINcalc!$Q$27,EmpWorksheet!$C$1:$H$100,I70,FALSE)</f>
        <v>#VALUE!</v>
      </c>
      <c r="C70" t="e">
        <f t="shared" si="16"/>
        <v>#VALUE!</v>
      </c>
      <c r="D70" t="e">
        <f t="shared" si="14"/>
        <v>#VALUE!</v>
      </c>
      <c r="E70" t="e">
        <f t="shared" si="17"/>
        <v>#VALUE!</v>
      </c>
      <c r="F70" t="e">
        <f t="shared" si="15"/>
        <v>#VALUE!</v>
      </c>
      <c r="G70" t="e">
        <f>$C$3*EXP(-$A$1*EmpWorksheet!$A70)</f>
        <v>#VALUE!</v>
      </c>
      <c r="H70" t="e">
        <f>$C$3*EXP(-$A$1*EmpWorksheet!$A70)</f>
        <v>#VALUE!</v>
      </c>
      <c r="I70">
        <v>70</v>
      </c>
      <c r="Q70" s="12" t="e">
        <f>VLOOKUP(P70,DLsheet!$I$15:$J$20,2,FALSE)</f>
        <v>#N/A</v>
      </c>
    </row>
    <row r="71" spans="1:17" x14ac:dyDescent="0.25">
      <c r="A71">
        <v>34</v>
      </c>
      <c r="B71" t="e">
        <f>HLOOKUP(EmpiricVANCOMYCINcalc!$Q$27,EmpWorksheet!$C$1:$H$100,I71,FALSE)</f>
        <v>#VALUE!</v>
      </c>
      <c r="C71" t="e">
        <f t="shared" si="16"/>
        <v>#VALUE!</v>
      </c>
      <c r="D71" t="e">
        <f t="shared" si="14"/>
        <v>#VALUE!</v>
      </c>
      <c r="E71" t="e">
        <f t="shared" si="17"/>
        <v>#VALUE!</v>
      </c>
      <c r="F71" t="e">
        <f t="shared" si="15"/>
        <v>#VALUE!</v>
      </c>
      <c r="G71" t="e">
        <f>$C$3*EXP(-$A$1*EmpWorksheet!$A71)</f>
        <v>#VALUE!</v>
      </c>
      <c r="H71" t="e">
        <f>$C$3*EXP(-$A$1*EmpWorksheet!$A71)</f>
        <v>#VALUE!</v>
      </c>
      <c r="I71">
        <v>71</v>
      </c>
      <c r="Q71" s="12" t="e">
        <f>VLOOKUP(P71,DLsheet!$I$15:$J$20,2,FALSE)</f>
        <v>#N/A</v>
      </c>
    </row>
    <row r="72" spans="1:17" x14ac:dyDescent="0.25">
      <c r="A72">
        <v>34.5</v>
      </c>
      <c r="B72" t="e">
        <f>HLOOKUP(EmpiricVANCOMYCINcalc!$Q$27,EmpWorksheet!$C$1:$H$100,I72,FALSE)</f>
        <v>#VALUE!</v>
      </c>
      <c r="C72" t="e">
        <f t="shared" si="16"/>
        <v>#VALUE!</v>
      </c>
      <c r="D72" t="e">
        <f t="shared" si="14"/>
        <v>#VALUE!</v>
      </c>
      <c r="E72" t="e">
        <f t="shared" si="17"/>
        <v>#VALUE!</v>
      </c>
      <c r="F72" t="e">
        <f t="shared" si="15"/>
        <v>#VALUE!</v>
      </c>
      <c r="G72" t="e">
        <f>$C$3*EXP(-$A$1*EmpWorksheet!$A72)</f>
        <v>#VALUE!</v>
      </c>
      <c r="H72" t="e">
        <f>$C$3*EXP(-$A$1*EmpWorksheet!$A72)</f>
        <v>#VALUE!</v>
      </c>
      <c r="I72">
        <v>72</v>
      </c>
      <c r="Q72" s="12" t="e">
        <f>VLOOKUP(P72,DLsheet!$I$15:$J$20,2,FALSE)</f>
        <v>#N/A</v>
      </c>
    </row>
    <row r="73" spans="1:17" x14ac:dyDescent="0.25">
      <c r="A73">
        <v>35</v>
      </c>
      <c r="B73" t="e">
        <f>HLOOKUP(EmpiricVANCOMYCINcalc!$Q$27,EmpWorksheet!$C$1:$H$100,I73,FALSE)</f>
        <v>#VALUE!</v>
      </c>
      <c r="C73" t="e">
        <f t="shared" si="16"/>
        <v>#VALUE!</v>
      </c>
      <c r="D73" t="e">
        <f t="shared" si="14"/>
        <v>#VALUE!</v>
      </c>
      <c r="E73" t="e">
        <f t="shared" si="17"/>
        <v>#VALUE!</v>
      </c>
      <c r="F73" t="e">
        <f t="shared" si="15"/>
        <v>#VALUE!</v>
      </c>
      <c r="G73" t="e">
        <f>$C$3*EXP(-$A$1*EmpWorksheet!$A73)</f>
        <v>#VALUE!</v>
      </c>
      <c r="H73" t="e">
        <f>$C$3*EXP(-$A$1*EmpWorksheet!$A73)</f>
        <v>#VALUE!</v>
      </c>
      <c r="I73">
        <v>73</v>
      </c>
      <c r="Q73" s="12" t="e">
        <f>VLOOKUP(P73,DLsheet!$I$15:$J$20,2,FALSE)</f>
        <v>#N/A</v>
      </c>
    </row>
    <row r="74" spans="1:17" x14ac:dyDescent="0.25">
      <c r="A74">
        <v>35.5</v>
      </c>
      <c r="B74" t="e">
        <f>HLOOKUP(EmpiricVANCOMYCINcalc!$Q$27,EmpWorksheet!$C$1:$H$100,I74,FALSE)</f>
        <v>#VALUE!</v>
      </c>
      <c r="C74" t="e">
        <f t="shared" si="16"/>
        <v>#VALUE!</v>
      </c>
      <c r="D74" t="e">
        <f t="shared" si="14"/>
        <v>#VALUE!</v>
      </c>
      <c r="E74" t="e">
        <f t="shared" si="17"/>
        <v>#VALUE!</v>
      </c>
      <c r="F74" t="e">
        <f t="shared" si="15"/>
        <v>#VALUE!</v>
      </c>
      <c r="G74" t="e">
        <f>$C$3*EXP(-$A$1*EmpWorksheet!$A74)</f>
        <v>#VALUE!</v>
      </c>
      <c r="H74" t="e">
        <f>$C$3*EXP(-$A$1*EmpWorksheet!$A74)</f>
        <v>#VALUE!</v>
      </c>
      <c r="I74">
        <v>74</v>
      </c>
      <c r="Q74" s="12" t="e">
        <f>VLOOKUP(P74,DLsheet!$I$15:$J$20,2,FALSE)</f>
        <v>#N/A</v>
      </c>
    </row>
    <row r="75" spans="1:17" x14ac:dyDescent="0.25">
      <c r="A75">
        <v>36</v>
      </c>
      <c r="B75" t="e">
        <f>HLOOKUP(EmpiricVANCOMYCINcalc!$Q$27,EmpWorksheet!$C$1:$H$100,I75,FALSE)</f>
        <v>#VALUE!</v>
      </c>
      <c r="C75" t="e">
        <f t="shared" si="16"/>
        <v>#VALUE!</v>
      </c>
      <c r="D75" t="e">
        <f t="shared" si="14"/>
        <v>#VALUE!</v>
      </c>
      <c r="E75" t="e">
        <f t="shared" si="17"/>
        <v>#VALUE!</v>
      </c>
      <c r="F75" t="e">
        <f t="shared" si="15"/>
        <v>#VALUE!</v>
      </c>
      <c r="G75" t="e">
        <f>G3+G74</f>
        <v>#VALUE!</v>
      </c>
      <c r="H75" t="e">
        <f>$C$3*EXP(-$A$1*EmpWorksheet!$A75)</f>
        <v>#VALUE!</v>
      </c>
      <c r="I75">
        <v>75</v>
      </c>
      <c r="Q75" s="12" t="e">
        <f>VLOOKUP(P75,DLsheet!$I$15:$J$20,2,FALSE)</f>
        <v>#N/A</v>
      </c>
    </row>
    <row r="76" spans="1:17" x14ac:dyDescent="0.25">
      <c r="A76">
        <v>36.5</v>
      </c>
      <c r="B76" t="e">
        <f>HLOOKUP(EmpiricVANCOMYCINcalc!$Q$27,EmpWorksheet!$C$1:$H$100,I76,FALSE)</f>
        <v>#VALUE!</v>
      </c>
      <c r="C76" t="e">
        <f t="shared" si="16"/>
        <v>#VALUE!</v>
      </c>
      <c r="D76" t="e">
        <f>D3+D75</f>
        <v>#VALUE!</v>
      </c>
      <c r="E76" t="e">
        <f t="shared" si="17"/>
        <v>#VALUE!</v>
      </c>
      <c r="F76" t="e">
        <f t="shared" si="15"/>
        <v>#VALUE!</v>
      </c>
      <c r="G76" t="e">
        <f t="shared" ref="G76:G100" si="18">$G$75*EXP(-$A$1*(A76-36))</f>
        <v>#VALUE!</v>
      </c>
      <c r="H76" t="e">
        <f>$C$3*EXP(-$A$1*EmpWorksheet!$A76)</f>
        <v>#VALUE!</v>
      </c>
      <c r="I76">
        <v>76</v>
      </c>
      <c r="Q76" s="12" t="e">
        <f>VLOOKUP(P76,DLsheet!$I$15:$J$20,2,FALSE)</f>
        <v>#N/A</v>
      </c>
    </row>
    <row r="77" spans="1:17" x14ac:dyDescent="0.25">
      <c r="A77">
        <v>37</v>
      </c>
      <c r="B77" t="e">
        <f>HLOOKUP(EmpiricVANCOMYCINcalc!$Q$27,EmpWorksheet!$C$1:$H$100,I77,FALSE)</f>
        <v>#VALUE!</v>
      </c>
      <c r="C77" t="e">
        <f t="shared" si="16"/>
        <v>#VALUE!</v>
      </c>
      <c r="D77" t="e">
        <f t="shared" ref="D77:D99" si="19">$D$76*EXP(-$A$1*(A77-36.5))</f>
        <v>#VALUE!</v>
      </c>
      <c r="E77" t="e">
        <f t="shared" si="17"/>
        <v>#VALUE!</v>
      </c>
      <c r="F77" t="e">
        <f t="shared" si="15"/>
        <v>#VALUE!</v>
      </c>
      <c r="G77" t="e">
        <f t="shared" si="18"/>
        <v>#VALUE!</v>
      </c>
      <c r="H77" t="e">
        <f>$C$3*EXP(-$A$1*EmpWorksheet!$A77)</f>
        <v>#VALUE!</v>
      </c>
      <c r="I77">
        <v>77</v>
      </c>
      <c r="Q77" s="12" t="e">
        <f>VLOOKUP(P77,DLsheet!$I$15:$J$20,2,FALSE)</f>
        <v>#N/A</v>
      </c>
    </row>
    <row r="78" spans="1:17" x14ac:dyDescent="0.25">
      <c r="A78">
        <v>37.5</v>
      </c>
      <c r="B78" t="e">
        <f>HLOOKUP(EmpiricVANCOMYCINcalc!$Q$27,EmpWorksheet!$C$1:$H$100,I78,FALSE)</f>
        <v>#VALUE!</v>
      </c>
      <c r="C78" t="e">
        <f t="shared" si="16"/>
        <v>#VALUE!</v>
      </c>
      <c r="D78" t="e">
        <f t="shared" si="19"/>
        <v>#VALUE!</v>
      </c>
      <c r="E78" t="e">
        <f t="shared" si="17"/>
        <v>#VALUE!</v>
      </c>
      <c r="F78" t="e">
        <f t="shared" si="15"/>
        <v>#VALUE!</v>
      </c>
      <c r="G78" t="e">
        <f t="shared" si="18"/>
        <v>#VALUE!</v>
      </c>
      <c r="H78" t="e">
        <f>$C$3*EXP(-$A$1*EmpWorksheet!$A78)</f>
        <v>#VALUE!</v>
      </c>
      <c r="I78">
        <v>78</v>
      </c>
      <c r="Q78" s="12" t="e">
        <f>VLOOKUP(P78,DLsheet!$I$15:$J$20,2,FALSE)</f>
        <v>#N/A</v>
      </c>
    </row>
    <row r="79" spans="1:17" x14ac:dyDescent="0.25">
      <c r="A79">
        <v>38</v>
      </c>
      <c r="B79" t="e">
        <f>HLOOKUP(EmpiricVANCOMYCINcalc!$Q$27,EmpWorksheet!$C$1:$H$100,I79,FALSE)</f>
        <v>#VALUE!</v>
      </c>
      <c r="C79" t="e">
        <f t="shared" si="16"/>
        <v>#VALUE!</v>
      </c>
      <c r="D79" t="e">
        <f t="shared" si="19"/>
        <v>#VALUE!</v>
      </c>
      <c r="E79" t="e">
        <f t="shared" si="17"/>
        <v>#VALUE!</v>
      </c>
      <c r="F79" t="e">
        <f t="shared" si="15"/>
        <v>#VALUE!</v>
      </c>
      <c r="G79" t="e">
        <f t="shared" si="18"/>
        <v>#VALUE!</v>
      </c>
      <c r="H79" t="e">
        <f>$C$3*EXP(-$A$1*EmpWorksheet!$A79)</f>
        <v>#VALUE!</v>
      </c>
      <c r="I79">
        <v>79</v>
      </c>
      <c r="Q79" s="12" t="e">
        <f>VLOOKUP(P79,DLsheet!$I$15:$J$20,2,FALSE)</f>
        <v>#N/A</v>
      </c>
    </row>
    <row r="80" spans="1:17" x14ac:dyDescent="0.25">
      <c r="A80">
        <v>38.5</v>
      </c>
      <c r="B80" t="e">
        <f>HLOOKUP(EmpiricVANCOMYCINcalc!$Q$27,EmpWorksheet!$C$1:$H$100,I80,FALSE)</f>
        <v>#VALUE!</v>
      </c>
      <c r="C80" t="e">
        <f t="shared" si="16"/>
        <v>#VALUE!</v>
      </c>
      <c r="D80" t="e">
        <f t="shared" si="19"/>
        <v>#VALUE!</v>
      </c>
      <c r="E80" t="e">
        <f t="shared" si="17"/>
        <v>#VALUE!</v>
      </c>
      <c r="F80" t="e">
        <f t="shared" si="15"/>
        <v>#VALUE!</v>
      </c>
      <c r="G80" t="e">
        <f t="shared" si="18"/>
        <v>#VALUE!</v>
      </c>
      <c r="H80" t="e">
        <f>$C$3*EXP(-$A$1*EmpWorksheet!$A80)</f>
        <v>#VALUE!</v>
      </c>
      <c r="I80">
        <v>80</v>
      </c>
      <c r="Q80" s="12" t="e">
        <f>VLOOKUP(P80,DLsheet!$I$15:$J$20,2,FALSE)</f>
        <v>#N/A</v>
      </c>
    </row>
    <row r="81" spans="1:17" x14ac:dyDescent="0.25">
      <c r="A81">
        <v>39</v>
      </c>
      <c r="B81" t="e">
        <f>HLOOKUP(EmpiricVANCOMYCINcalc!$Q$27,EmpWorksheet!$C$1:$H$100,I81,FALSE)</f>
        <v>#VALUE!</v>
      </c>
      <c r="C81" t="e">
        <f t="shared" si="16"/>
        <v>#VALUE!</v>
      </c>
      <c r="D81" t="e">
        <f t="shared" si="19"/>
        <v>#VALUE!</v>
      </c>
      <c r="E81" t="e">
        <f t="shared" si="17"/>
        <v>#VALUE!</v>
      </c>
      <c r="F81" t="e">
        <f t="shared" si="15"/>
        <v>#VALUE!</v>
      </c>
      <c r="G81" t="e">
        <f t="shared" si="18"/>
        <v>#VALUE!</v>
      </c>
      <c r="H81" t="e">
        <f>$C$3*EXP(-$A$1*EmpWorksheet!$A81)</f>
        <v>#VALUE!</v>
      </c>
      <c r="I81">
        <v>81</v>
      </c>
      <c r="Q81" s="12" t="e">
        <f>VLOOKUP(P81,DLsheet!$I$15:$J$20,2,FALSE)</f>
        <v>#N/A</v>
      </c>
    </row>
    <row r="82" spans="1:17" x14ac:dyDescent="0.25">
      <c r="A82">
        <v>39.5</v>
      </c>
      <c r="B82" t="e">
        <f>HLOOKUP(EmpiricVANCOMYCINcalc!$Q$27,EmpWorksheet!$C$1:$H$100,I82,FALSE)</f>
        <v>#VALUE!</v>
      </c>
      <c r="C82" t="e">
        <f t="shared" si="16"/>
        <v>#VALUE!</v>
      </c>
      <c r="D82" t="e">
        <f t="shared" si="19"/>
        <v>#VALUE!</v>
      </c>
      <c r="E82" t="e">
        <f t="shared" si="17"/>
        <v>#VALUE!</v>
      </c>
      <c r="F82" t="e">
        <f t="shared" si="15"/>
        <v>#VALUE!</v>
      </c>
      <c r="G82" t="e">
        <f t="shared" si="18"/>
        <v>#VALUE!</v>
      </c>
      <c r="H82" t="e">
        <f>$C$3*EXP(-$A$1*EmpWorksheet!$A82)</f>
        <v>#VALUE!</v>
      </c>
      <c r="I82">
        <v>82</v>
      </c>
      <c r="Q82" s="12" t="e">
        <f>VLOOKUP(P82,DLsheet!$I$15:$J$20,2,FALSE)</f>
        <v>#N/A</v>
      </c>
    </row>
    <row r="83" spans="1:17" x14ac:dyDescent="0.25">
      <c r="A83">
        <v>40</v>
      </c>
      <c r="B83" t="e">
        <f>HLOOKUP(EmpiricVANCOMYCINcalc!$Q$27,EmpWorksheet!$C$1:$H$100,I83,FALSE)</f>
        <v>#VALUE!</v>
      </c>
      <c r="C83" t="e">
        <f t="shared" si="16"/>
        <v>#VALUE!</v>
      </c>
      <c r="D83" t="e">
        <f t="shared" si="19"/>
        <v>#VALUE!</v>
      </c>
      <c r="E83" t="e">
        <f t="shared" si="17"/>
        <v>#VALUE!</v>
      </c>
      <c r="F83" t="e">
        <f t="shared" si="15"/>
        <v>#VALUE!</v>
      </c>
      <c r="G83" t="e">
        <f t="shared" si="18"/>
        <v>#VALUE!</v>
      </c>
      <c r="H83" t="e">
        <f>$C$3*EXP(-$A$1*EmpWorksheet!$A83)</f>
        <v>#VALUE!</v>
      </c>
      <c r="I83">
        <v>83</v>
      </c>
      <c r="Q83" s="12" t="e">
        <f>VLOOKUP(P83,DLsheet!$I$15:$J$20,2,FALSE)</f>
        <v>#N/A</v>
      </c>
    </row>
    <row r="84" spans="1:17" x14ac:dyDescent="0.25">
      <c r="A84">
        <v>40.5</v>
      </c>
      <c r="B84" t="e">
        <f>HLOOKUP(EmpiricVANCOMYCINcalc!$Q$27,EmpWorksheet!$C$1:$H$100,I84,FALSE)</f>
        <v>#VALUE!</v>
      </c>
      <c r="C84" t="e">
        <f>$C$3+C83</f>
        <v>#VALUE!</v>
      </c>
      <c r="D84" t="e">
        <f t="shared" si="19"/>
        <v>#VALUE!</v>
      </c>
      <c r="E84" t="e">
        <f t="shared" si="17"/>
        <v>#VALUE!</v>
      </c>
      <c r="F84" t="e">
        <f t="shared" si="15"/>
        <v>#VALUE!</v>
      </c>
      <c r="G84" t="e">
        <f t="shared" si="18"/>
        <v>#VALUE!</v>
      </c>
      <c r="H84" t="e">
        <f>$C$3*EXP(-$A$1*EmpWorksheet!$A84)</f>
        <v>#VALUE!</v>
      </c>
      <c r="I84">
        <v>84</v>
      </c>
      <c r="Q84" s="12" t="e">
        <f>VLOOKUP(P84,DLsheet!$I$15:$J$20,2,FALSE)</f>
        <v>#N/A</v>
      </c>
    </row>
    <row r="85" spans="1:17" x14ac:dyDescent="0.25">
      <c r="A85">
        <v>41</v>
      </c>
      <c r="B85" t="e">
        <f>HLOOKUP(EmpiricVANCOMYCINcalc!$Q$27,EmpWorksheet!$C$1:$H$100,I85,FALSE)</f>
        <v>#VALUE!</v>
      </c>
      <c r="C85" t="e">
        <f t="shared" ref="C85:C100" si="20">$C$84*EXP(-$A$1*(A85-40.5))</f>
        <v>#VALUE!</v>
      </c>
      <c r="D85" t="e">
        <f t="shared" si="19"/>
        <v>#VALUE!</v>
      </c>
      <c r="E85" t="e">
        <f t="shared" si="17"/>
        <v>#VALUE!</v>
      </c>
      <c r="F85" t="e">
        <f t="shared" si="15"/>
        <v>#VALUE!</v>
      </c>
      <c r="G85" t="e">
        <f t="shared" si="18"/>
        <v>#VALUE!</v>
      </c>
      <c r="H85" t="e">
        <f>$C$3*EXP(-$A$1*EmpWorksheet!$A85)</f>
        <v>#VALUE!</v>
      </c>
      <c r="I85">
        <v>85</v>
      </c>
      <c r="Q85" s="12" t="e">
        <f>VLOOKUP(P85,DLsheet!$I$15:$J$20,2,FALSE)</f>
        <v>#N/A</v>
      </c>
    </row>
    <row r="86" spans="1:17" x14ac:dyDescent="0.25">
      <c r="A86">
        <v>41.5</v>
      </c>
      <c r="B86" t="e">
        <f>HLOOKUP(EmpiricVANCOMYCINcalc!$Q$27,EmpWorksheet!$C$1:$H$100,I86,FALSE)</f>
        <v>#VALUE!</v>
      </c>
      <c r="C86" t="e">
        <f t="shared" si="20"/>
        <v>#VALUE!</v>
      </c>
      <c r="D86" t="e">
        <f t="shared" si="19"/>
        <v>#VALUE!</v>
      </c>
      <c r="E86" t="e">
        <f t="shared" si="17"/>
        <v>#VALUE!</v>
      </c>
      <c r="F86" t="e">
        <f t="shared" si="15"/>
        <v>#VALUE!</v>
      </c>
      <c r="G86" t="e">
        <f t="shared" si="18"/>
        <v>#VALUE!</v>
      </c>
      <c r="H86" t="e">
        <f>$C$3*EXP(-$A$1*EmpWorksheet!$A86)</f>
        <v>#VALUE!</v>
      </c>
      <c r="I86">
        <v>86</v>
      </c>
      <c r="Q86" s="12" t="e">
        <f>VLOOKUP(P86,DLsheet!$I$15:$J$20,2,FALSE)</f>
        <v>#N/A</v>
      </c>
    </row>
    <row r="87" spans="1:17" x14ac:dyDescent="0.25">
      <c r="A87">
        <v>42</v>
      </c>
      <c r="B87" t="e">
        <f>HLOOKUP(EmpiricVANCOMYCINcalc!$Q$27,EmpWorksheet!$C$1:$H$100,I87,FALSE)</f>
        <v>#VALUE!</v>
      </c>
      <c r="C87" t="e">
        <f t="shared" si="20"/>
        <v>#VALUE!</v>
      </c>
      <c r="D87" t="e">
        <f t="shared" si="19"/>
        <v>#VALUE!</v>
      </c>
      <c r="E87" t="e">
        <f t="shared" si="17"/>
        <v>#VALUE!</v>
      </c>
      <c r="F87" t="e">
        <f t="shared" si="15"/>
        <v>#VALUE!</v>
      </c>
      <c r="G87" t="e">
        <f t="shared" si="18"/>
        <v>#VALUE!</v>
      </c>
      <c r="H87" t="e">
        <f>$C$3*EXP(-$A$1*EmpWorksheet!$A87)</f>
        <v>#VALUE!</v>
      </c>
      <c r="I87">
        <v>87</v>
      </c>
      <c r="Q87" s="12" t="e">
        <f>VLOOKUP(P87,DLsheet!$I$15:$J$20,2,FALSE)</f>
        <v>#N/A</v>
      </c>
    </row>
    <row r="88" spans="1:17" x14ac:dyDescent="0.25">
      <c r="A88">
        <v>42.5</v>
      </c>
      <c r="B88" t="e">
        <f>HLOOKUP(EmpiricVANCOMYCINcalc!$Q$27,EmpWorksheet!$C$1:$H$100,I88,FALSE)</f>
        <v>#VALUE!</v>
      </c>
      <c r="C88" t="e">
        <f t="shared" si="20"/>
        <v>#VALUE!</v>
      </c>
      <c r="D88" t="e">
        <f t="shared" si="19"/>
        <v>#VALUE!</v>
      </c>
      <c r="E88" t="e">
        <f t="shared" si="17"/>
        <v>#VALUE!</v>
      </c>
      <c r="F88" t="e">
        <f t="shared" si="15"/>
        <v>#VALUE!</v>
      </c>
      <c r="G88" t="e">
        <f t="shared" si="18"/>
        <v>#VALUE!</v>
      </c>
      <c r="H88" t="e">
        <f>$C$3*EXP(-$A$1*EmpWorksheet!$A88)</f>
        <v>#VALUE!</v>
      </c>
      <c r="I88">
        <v>88</v>
      </c>
      <c r="Q88" s="12" t="e">
        <f>VLOOKUP(P88,DLsheet!$I$15:$J$20,2,FALSE)</f>
        <v>#N/A</v>
      </c>
    </row>
    <row r="89" spans="1:17" x14ac:dyDescent="0.25">
      <c r="A89">
        <v>43</v>
      </c>
      <c r="B89" t="e">
        <f>HLOOKUP(EmpiricVANCOMYCINcalc!$Q$27,EmpWorksheet!$C$1:$H$100,I89,FALSE)</f>
        <v>#VALUE!</v>
      </c>
      <c r="C89" t="e">
        <f t="shared" si="20"/>
        <v>#VALUE!</v>
      </c>
      <c r="D89" t="e">
        <f t="shared" si="19"/>
        <v>#VALUE!</v>
      </c>
      <c r="E89" t="e">
        <f t="shared" si="17"/>
        <v>#VALUE!</v>
      </c>
      <c r="F89" t="e">
        <f t="shared" si="15"/>
        <v>#VALUE!</v>
      </c>
      <c r="G89" t="e">
        <f t="shared" si="18"/>
        <v>#VALUE!</v>
      </c>
      <c r="H89" t="e">
        <f>$C$3*EXP(-$A$1*EmpWorksheet!$A89)</f>
        <v>#VALUE!</v>
      </c>
      <c r="I89">
        <v>89</v>
      </c>
      <c r="Q89" s="12" t="e">
        <f>VLOOKUP(P89,DLsheet!$I$15:$J$20,2,FALSE)</f>
        <v>#N/A</v>
      </c>
    </row>
    <row r="90" spans="1:17" x14ac:dyDescent="0.25">
      <c r="A90">
        <v>43.5</v>
      </c>
      <c r="B90" t="e">
        <f>HLOOKUP(EmpiricVANCOMYCINcalc!$Q$27,EmpWorksheet!$C$1:$H$100,I90,FALSE)</f>
        <v>#VALUE!</v>
      </c>
      <c r="C90" t="e">
        <f t="shared" si="20"/>
        <v>#VALUE!</v>
      </c>
      <c r="D90" t="e">
        <f t="shared" si="19"/>
        <v>#VALUE!</v>
      </c>
      <c r="E90" t="e">
        <f t="shared" si="17"/>
        <v>#VALUE!</v>
      </c>
      <c r="F90" t="e">
        <f t="shared" si="15"/>
        <v>#VALUE!</v>
      </c>
      <c r="G90" t="e">
        <f t="shared" si="18"/>
        <v>#VALUE!</v>
      </c>
      <c r="H90" t="e">
        <f>$C$3*EXP(-$A$1*EmpWorksheet!$A90)</f>
        <v>#VALUE!</v>
      </c>
      <c r="I90">
        <v>90</v>
      </c>
      <c r="Q90" s="12" t="e">
        <f>VLOOKUP(P90,DLsheet!$I$15:$J$20,2,FALSE)</f>
        <v>#N/A</v>
      </c>
    </row>
    <row r="91" spans="1:17" x14ac:dyDescent="0.25">
      <c r="A91">
        <v>44</v>
      </c>
      <c r="B91" t="e">
        <f>HLOOKUP(EmpiricVANCOMYCINcalc!$Q$27,EmpWorksheet!$C$1:$H$100,I91,FALSE)</f>
        <v>#VALUE!</v>
      </c>
      <c r="C91" t="e">
        <f t="shared" si="20"/>
        <v>#VALUE!</v>
      </c>
      <c r="D91" t="e">
        <f t="shared" si="19"/>
        <v>#VALUE!</v>
      </c>
      <c r="E91" t="e">
        <f t="shared" si="17"/>
        <v>#VALUE!</v>
      </c>
      <c r="F91" t="e">
        <f t="shared" si="15"/>
        <v>#VALUE!</v>
      </c>
      <c r="G91" t="e">
        <f t="shared" si="18"/>
        <v>#VALUE!</v>
      </c>
      <c r="H91" t="e">
        <f>$C$3*EXP(-$A$1*EmpWorksheet!$A91)</f>
        <v>#VALUE!</v>
      </c>
      <c r="I91">
        <v>91</v>
      </c>
      <c r="Q91" s="12" t="e">
        <f>VLOOKUP(P91,DLsheet!$I$15:$J$20,2,FALSE)</f>
        <v>#N/A</v>
      </c>
    </row>
    <row r="92" spans="1:17" x14ac:dyDescent="0.25">
      <c r="A92">
        <v>44.5</v>
      </c>
      <c r="B92" t="e">
        <f>HLOOKUP(EmpiricVANCOMYCINcalc!$Q$27,EmpWorksheet!$C$1:$H$100,I92,FALSE)</f>
        <v>#VALUE!</v>
      </c>
      <c r="C92" t="e">
        <f t="shared" si="20"/>
        <v>#VALUE!</v>
      </c>
      <c r="D92" t="e">
        <f t="shared" si="19"/>
        <v>#VALUE!</v>
      </c>
      <c r="E92" t="e">
        <f t="shared" si="17"/>
        <v>#VALUE!</v>
      </c>
      <c r="F92" t="e">
        <f t="shared" si="15"/>
        <v>#VALUE!</v>
      </c>
      <c r="G92" t="e">
        <f t="shared" si="18"/>
        <v>#VALUE!</v>
      </c>
      <c r="H92" t="e">
        <f>$C$3*EXP(-$A$1*EmpWorksheet!$A92)</f>
        <v>#VALUE!</v>
      </c>
      <c r="I92">
        <v>92</v>
      </c>
      <c r="Q92" s="12" t="e">
        <f>VLOOKUP(P92,DLsheet!$I$15:$J$20,2,FALSE)</f>
        <v>#N/A</v>
      </c>
    </row>
    <row r="93" spans="1:17" x14ac:dyDescent="0.25">
      <c r="A93">
        <v>45</v>
      </c>
      <c r="B93" t="e">
        <f>HLOOKUP(EmpiricVANCOMYCINcalc!$Q$27,EmpWorksheet!$C$1:$H$100,I93,FALSE)</f>
        <v>#VALUE!</v>
      </c>
      <c r="C93" t="e">
        <f t="shared" si="20"/>
        <v>#VALUE!</v>
      </c>
      <c r="D93" t="e">
        <f t="shared" si="19"/>
        <v>#VALUE!</v>
      </c>
      <c r="E93" t="e">
        <f t="shared" si="17"/>
        <v>#VALUE!</v>
      </c>
      <c r="F93" t="e">
        <f t="shared" si="15"/>
        <v>#VALUE!</v>
      </c>
      <c r="G93" t="e">
        <f t="shared" si="18"/>
        <v>#VALUE!</v>
      </c>
      <c r="H93" t="e">
        <f>$C$3*EXP(-$A$1*EmpWorksheet!$A93)</f>
        <v>#VALUE!</v>
      </c>
      <c r="I93">
        <v>93</v>
      </c>
      <c r="Q93" s="12" t="e">
        <f>VLOOKUP(P93,DLsheet!$I$15:$J$20,2,FALSE)</f>
        <v>#N/A</v>
      </c>
    </row>
    <row r="94" spans="1:17" x14ac:dyDescent="0.25">
      <c r="A94">
        <v>45.5</v>
      </c>
      <c r="B94" t="e">
        <f>HLOOKUP(EmpiricVANCOMYCINcalc!$Q$27,EmpWorksheet!$C$1:$H$100,I94,FALSE)</f>
        <v>#VALUE!</v>
      </c>
      <c r="C94" t="e">
        <f t="shared" si="20"/>
        <v>#VALUE!</v>
      </c>
      <c r="D94" t="e">
        <f t="shared" si="19"/>
        <v>#VALUE!</v>
      </c>
      <c r="E94" t="e">
        <f t="shared" si="17"/>
        <v>#VALUE!</v>
      </c>
      <c r="F94" t="e">
        <f t="shared" si="15"/>
        <v>#VALUE!</v>
      </c>
      <c r="G94" t="e">
        <f t="shared" si="18"/>
        <v>#VALUE!</v>
      </c>
      <c r="H94" t="e">
        <f>$C$3*EXP(-$A$1*EmpWorksheet!$A94)</f>
        <v>#VALUE!</v>
      </c>
      <c r="I94">
        <v>94</v>
      </c>
      <c r="Q94" s="12" t="e">
        <f>VLOOKUP(P94,DLsheet!$I$15:$J$20,2,FALSE)</f>
        <v>#N/A</v>
      </c>
    </row>
    <row r="95" spans="1:17" x14ac:dyDescent="0.25">
      <c r="A95">
        <v>46</v>
      </c>
      <c r="B95" t="e">
        <f>HLOOKUP(EmpiricVANCOMYCINcalc!$Q$27,EmpWorksheet!$C$1:$H$100,I95,FALSE)</f>
        <v>#VALUE!</v>
      </c>
      <c r="C95" t="e">
        <f t="shared" si="20"/>
        <v>#VALUE!</v>
      </c>
      <c r="D95" t="e">
        <f t="shared" si="19"/>
        <v>#VALUE!</v>
      </c>
      <c r="E95" t="e">
        <f t="shared" si="17"/>
        <v>#VALUE!</v>
      </c>
      <c r="F95" t="e">
        <f t="shared" si="15"/>
        <v>#VALUE!</v>
      </c>
      <c r="G95" t="e">
        <f t="shared" si="18"/>
        <v>#VALUE!</v>
      </c>
      <c r="H95" t="e">
        <f>$C$3*EXP(-$A$1*EmpWorksheet!$A95)</f>
        <v>#VALUE!</v>
      </c>
      <c r="I95">
        <v>95</v>
      </c>
      <c r="Q95" s="12" t="e">
        <f>VLOOKUP(P95,DLsheet!$I$15:$J$20,2,FALSE)</f>
        <v>#N/A</v>
      </c>
    </row>
    <row r="96" spans="1:17" x14ac:dyDescent="0.25">
      <c r="A96">
        <v>46.5</v>
      </c>
      <c r="B96" t="e">
        <f>HLOOKUP(EmpiricVANCOMYCINcalc!$Q$27,EmpWorksheet!$C$1:$H$100,I96,FALSE)</f>
        <v>#VALUE!</v>
      </c>
      <c r="C96" t="e">
        <f t="shared" si="20"/>
        <v>#VALUE!</v>
      </c>
      <c r="D96" t="e">
        <f t="shared" si="19"/>
        <v>#VALUE!</v>
      </c>
      <c r="E96" t="e">
        <f t="shared" si="17"/>
        <v>#VALUE!</v>
      </c>
      <c r="F96" t="e">
        <f t="shared" si="15"/>
        <v>#VALUE!</v>
      </c>
      <c r="G96" t="e">
        <f t="shared" si="18"/>
        <v>#VALUE!</v>
      </c>
      <c r="H96" t="e">
        <f>$C$3*EXP(-$A$1*EmpWorksheet!$A96)</f>
        <v>#VALUE!</v>
      </c>
      <c r="I96">
        <v>96</v>
      </c>
      <c r="Q96" s="12" t="e">
        <f>VLOOKUP(P96,DLsheet!$I$15:$J$20,2,FALSE)</f>
        <v>#N/A</v>
      </c>
    </row>
    <row r="97" spans="1:17" x14ac:dyDescent="0.25">
      <c r="A97">
        <v>47</v>
      </c>
      <c r="B97" t="e">
        <f>HLOOKUP(EmpiricVANCOMYCINcalc!$Q$27,EmpWorksheet!$C$1:$H$100,I97,FALSE)</f>
        <v>#VALUE!</v>
      </c>
      <c r="C97" t="e">
        <f t="shared" si="20"/>
        <v>#VALUE!</v>
      </c>
      <c r="D97" t="e">
        <f t="shared" si="19"/>
        <v>#VALUE!</v>
      </c>
      <c r="E97" t="e">
        <f t="shared" si="17"/>
        <v>#VALUE!</v>
      </c>
      <c r="F97" t="e">
        <f t="shared" si="15"/>
        <v>#VALUE!</v>
      </c>
      <c r="G97" t="e">
        <f t="shared" si="18"/>
        <v>#VALUE!</v>
      </c>
      <c r="H97" t="e">
        <f>$C$3*EXP(-$A$1*EmpWorksheet!$A97)</f>
        <v>#VALUE!</v>
      </c>
      <c r="I97">
        <v>97</v>
      </c>
      <c r="Q97" s="12" t="e">
        <f>VLOOKUP(P97,DLsheet!$I$15:$J$20,2,FALSE)</f>
        <v>#N/A</v>
      </c>
    </row>
    <row r="98" spans="1:17" x14ac:dyDescent="0.25">
      <c r="A98">
        <v>47.5</v>
      </c>
      <c r="B98" t="e">
        <f>HLOOKUP(EmpiricVANCOMYCINcalc!$Q$27,EmpWorksheet!$C$1:$H$100,I98,FALSE)</f>
        <v>#VALUE!</v>
      </c>
      <c r="C98" t="e">
        <f t="shared" si="20"/>
        <v>#VALUE!</v>
      </c>
      <c r="D98" t="e">
        <f t="shared" si="19"/>
        <v>#VALUE!</v>
      </c>
      <c r="E98" t="e">
        <f t="shared" si="17"/>
        <v>#VALUE!</v>
      </c>
      <c r="F98" t="e">
        <f t="shared" si="15"/>
        <v>#VALUE!</v>
      </c>
      <c r="G98" t="e">
        <f t="shared" si="18"/>
        <v>#VALUE!</v>
      </c>
      <c r="H98" t="e">
        <f>$C$3*EXP(-$A$1*EmpWorksheet!$A98)</f>
        <v>#VALUE!</v>
      </c>
      <c r="I98">
        <v>98</v>
      </c>
      <c r="Q98" s="12" t="e">
        <f>VLOOKUP(P98,DLsheet!$I$15:$J$20,2,FALSE)</f>
        <v>#N/A</v>
      </c>
    </row>
    <row r="99" spans="1:17" x14ac:dyDescent="0.25">
      <c r="A99">
        <v>48</v>
      </c>
      <c r="C99" t="e">
        <f t="shared" si="20"/>
        <v>#VALUE!</v>
      </c>
      <c r="D99" t="e">
        <f t="shared" si="19"/>
        <v>#VALUE!</v>
      </c>
      <c r="E99" t="e">
        <f t="shared" si="17"/>
        <v>#VALUE!</v>
      </c>
      <c r="F99" t="e">
        <f t="shared" si="15"/>
        <v>#VALUE!</v>
      </c>
      <c r="G99" t="e">
        <f t="shared" si="18"/>
        <v>#VALUE!</v>
      </c>
      <c r="H99" t="e">
        <f>$C$3*EXP(-$A$1*EmpWorksheet!$A99)</f>
        <v>#VALUE!</v>
      </c>
      <c r="I99">
        <v>99</v>
      </c>
      <c r="Q99" s="12" t="e">
        <f>VLOOKUP(P99,DLsheet!$I$15:$J$20,2,FALSE)</f>
        <v>#N/A</v>
      </c>
    </row>
    <row r="100" spans="1:17" x14ac:dyDescent="0.25">
      <c r="A100">
        <v>48.5</v>
      </c>
      <c r="C100" t="e">
        <f t="shared" si="20"/>
        <v>#VALUE!</v>
      </c>
      <c r="D100" t="e">
        <f>D99+D3</f>
        <v>#VALUE!</v>
      </c>
      <c r="E100" t="e">
        <f t="shared" si="17"/>
        <v>#VALUE!</v>
      </c>
      <c r="F100" t="e">
        <f>F99+F3</f>
        <v>#VALUE!</v>
      </c>
      <c r="G100" t="e">
        <f t="shared" si="18"/>
        <v>#VALUE!</v>
      </c>
      <c r="H100" t="e">
        <f>$C$3*EXP(-$A$1*EmpWorksheet!$A100)</f>
        <v>#VALUE!</v>
      </c>
      <c r="I100">
        <v>100</v>
      </c>
      <c r="Q100" s="12" t="e">
        <f>VLOOKUP(P100,DLsheet!$I$15:$J$20,2,FALSE)</f>
        <v>#N/A</v>
      </c>
    </row>
  </sheetData>
  <sheetProtection sheet="1" objects="1" scenarios="1" selectLockedCells="1" selectUnlockedCells="1"/>
  <sortState xmlns:xlrd2="http://schemas.microsoft.com/office/spreadsheetml/2017/richdata2" ref="J2:U54">
    <sortCondition ref="N2:N54"/>
    <sortCondition ref="O2:O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1AEC-4827-4A51-B9BE-5F11D6C04867}">
  <sheetPr codeName="Sheet8"/>
  <dimension ref="A1:AE47"/>
  <sheetViews>
    <sheetView zoomScaleNormal="100" workbookViewId="0">
      <selection activeCell="E10" sqref="E10:F10"/>
    </sheetView>
  </sheetViews>
  <sheetFormatPr defaultRowHeight="15.75" x14ac:dyDescent="0.25"/>
  <cols>
    <col min="1" max="2" width="9.140625" style="3"/>
    <col min="3" max="3" width="10.7109375" style="3" customWidth="1"/>
    <col min="4" max="4" width="12.28515625" style="3" customWidth="1"/>
    <col min="5" max="6" width="13.28515625" style="3" customWidth="1"/>
    <col min="7" max="7" width="9.28515625" style="3" customWidth="1"/>
    <col min="8" max="8" width="9.140625" style="3"/>
    <col min="9" max="9" width="12" style="3" bestFit="1" customWidth="1"/>
    <col min="10" max="16384" width="9.140625" style="3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5" t="s">
        <v>236</v>
      </c>
      <c r="S1" s="85"/>
      <c r="T1" s="85"/>
      <c r="U1" s="85"/>
      <c r="V1" s="85"/>
      <c r="W1" s="85"/>
      <c r="X1" s="85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5"/>
      <c r="S2" s="85"/>
      <c r="T2" s="85"/>
      <c r="U2" s="85"/>
      <c r="V2" s="85"/>
      <c r="W2" s="85"/>
      <c r="X2" s="85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5" t="s">
        <v>235</v>
      </c>
      <c r="S3" s="85"/>
      <c r="T3" s="85"/>
      <c r="U3" s="85"/>
      <c r="V3" s="85"/>
      <c r="W3" s="85"/>
      <c r="X3" s="85"/>
      <c r="Y3" s="2"/>
      <c r="Z3" s="2"/>
      <c r="AA3" s="2"/>
      <c r="AB3" s="2"/>
      <c r="AC3" s="2"/>
      <c r="AD3" s="2"/>
      <c r="AE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5"/>
      <c r="S4" s="85"/>
      <c r="T4" s="85"/>
      <c r="U4" s="85"/>
      <c r="V4" s="85"/>
      <c r="W4" s="85"/>
      <c r="X4" s="85"/>
      <c r="Y4" s="2"/>
      <c r="Z4" s="2"/>
      <c r="AA4" s="2"/>
      <c r="AB4" s="2"/>
      <c r="AC4" s="2"/>
      <c r="AD4" s="2"/>
      <c r="AE4" s="2"/>
    </row>
    <row r="5" spans="1:31" ht="15" customHeight="1" x14ac:dyDescent="0.25">
      <c r="A5" s="2"/>
      <c r="B5" s="2"/>
      <c r="C5" s="2"/>
      <c r="D5" s="2"/>
      <c r="E5" s="2"/>
      <c r="F5" s="2"/>
      <c r="G5" s="85" t="s">
        <v>171</v>
      </c>
      <c r="H5" s="85"/>
      <c r="I5" s="85"/>
      <c r="J5" s="85"/>
      <c r="K5" s="85"/>
      <c r="L5" s="85"/>
      <c r="M5" s="85"/>
      <c r="N5" s="2"/>
      <c r="O5" s="2"/>
      <c r="P5" s="2"/>
      <c r="Q5" s="2"/>
      <c r="R5" s="85" t="s">
        <v>169</v>
      </c>
      <c r="S5" s="85"/>
      <c r="T5" s="85"/>
      <c r="U5" s="85"/>
      <c r="V5" s="85"/>
      <c r="W5" s="85"/>
      <c r="X5" s="85"/>
      <c r="Y5" s="2"/>
      <c r="Z5" s="2"/>
      <c r="AA5" s="2"/>
      <c r="AB5" s="2"/>
      <c r="AC5" s="2"/>
      <c r="AD5" s="2"/>
      <c r="AE5" s="2"/>
    </row>
    <row r="6" spans="1:31" ht="15" customHeight="1" x14ac:dyDescent="0.25">
      <c r="A6" s="2"/>
      <c r="B6" s="2"/>
      <c r="C6" s="2"/>
      <c r="D6" s="2"/>
      <c r="E6" s="2"/>
      <c r="F6" s="2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85"/>
      <c r="S6" s="85"/>
      <c r="T6" s="85"/>
      <c r="U6" s="85"/>
      <c r="V6" s="85"/>
      <c r="W6" s="85"/>
      <c r="X6" s="85"/>
      <c r="Y6" s="2"/>
      <c r="Z6" s="2"/>
      <c r="AA6" s="2"/>
      <c r="AB6" s="2"/>
      <c r="AC6" s="2"/>
      <c r="AD6" s="2"/>
      <c r="AE6" s="2"/>
    </row>
    <row r="7" spans="1:3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1" x14ac:dyDescent="0.35">
      <c r="A9" s="2"/>
      <c r="B9" s="71" t="s">
        <v>180</v>
      </c>
      <c r="C9" s="71"/>
      <c r="D9" s="71"/>
      <c r="E9" s="71"/>
      <c r="F9" s="71"/>
      <c r="G9" s="71"/>
      <c r="H9" s="71"/>
      <c r="I9" s="2"/>
      <c r="J9" s="2"/>
      <c r="K9" s="71" t="s">
        <v>32</v>
      </c>
      <c r="L9" s="71"/>
      <c r="M9" s="71"/>
      <c r="N9" s="71"/>
      <c r="O9" s="71"/>
      <c r="P9" s="71"/>
      <c r="Q9" s="71"/>
      <c r="R9" s="71"/>
      <c r="S9" s="32"/>
      <c r="T9" s="32"/>
      <c r="U9" s="3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/>
      <c r="B10" s="2" t="s">
        <v>172</v>
      </c>
      <c r="C10" s="2"/>
      <c r="D10" s="2"/>
      <c r="E10" s="77" t="s">
        <v>174</v>
      </c>
      <c r="F10" s="77"/>
      <c r="G10" s="2"/>
      <c r="H10" s="2"/>
      <c r="I10" s="2"/>
      <c r="J10" s="2"/>
      <c r="K10" s="28"/>
      <c r="L10" s="24" t="s">
        <v>33</v>
      </c>
      <c r="M10" s="77">
        <v>500</v>
      </c>
      <c r="N10" s="77"/>
      <c r="O10" s="77"/>
      <c r="P10" s="2" t="s">
        <v>43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/>
      <c r="B11" s="2" t="s">
        <v>75</v>
      </c>
      <c r="C11" s="2"/>
      <c r="D11" s="2"/>
      <c r="E11" s="77"/>
      <c r="F11" s="77"/>
      <c r="G11" s="2" t="s">
        <v>70</v>
      </c>
      <c r="H11" s="2"/>
      <c r="I11" s="2"/>
      <c r="J11" s="2"/>
      <c r="K11" s="28"/>
      <c r="L11" s="24" t="s">
        <v>34</v>
      </c>
      <c r="M11" s="77">
        <v>35</v>
      </c>
      <c r="N11" s="77"/>
      <c r="O11" s="77"/>
      <c r="P11" s="2" t="s">
        <v>83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2" t="s">
        <v>175</v>
      </c>
      <c r="C12" s="2"/>
      <c r="D12" s="2"/>
      <c r="E12" s="77"/>
      <c r="F12" s="77"/>
      <c r="G12" s="2" t="s">
        <v>176</v>
      </c>
      <c r="H12" s="2"/>
      <c r="I12" s="2"/>
      <c r="J12" s="2"/>
      <c r="K12" s="28"/>
      <c r="L12" s="24" t="s">
        <v>35</v>
      </c>
      <c r="M12" s="77">
        <v>12.5</v>
      </c>
      <c r="N12" s="77"/>
      <c r="O12" s="77"/>
      <c r="P12" s="2" t="s">
        <v>84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/>
      <c r="B13" s="2" t="s">
        <v>178</v>
      </c>
      <c r="C13" s="2"/>
      <c r="D13" s="22"/>
      <c r="E13" s="96"/>
      <c r="F13" s="96"/>
      <c r="G13" s="33" t="s">
        <v>176</v>
      </c>
      <c r="H13" s="29"/>
      <c r="I13" s="44">
        <f>E13/24</f>
        <v>0</v>
      </c>
      <c r="J13" s="2"/>
      <c r="K13" s="28"/>
      <c r="L13" s="24" t="s">
        <v>42</v>
      </c>
      <c r="M13" s="77">
        <v>1</v>
      </c>
      <c r="N13" s="77"/>
      <c r="O13" s="77"/>
      <c r="P13" s="2" t="s">
        <v>46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 t="s">
        <v>177</v>
      </c>
      <c r="C14" s="2"/>
      <c r="D14" s="2"/>
      <c r="E14" s="58">
        <f ca="1">TODAY()</f>
        <v>44364</v>
      </c>
      <c r="F14" s="59">
        <v>0.25</v>
      </c>
      <c r="G14" s="95">
        <f ca="1">E14+F14</f>
        <v>44364.25</v>
      </c>
      <c r="H14" s="95"/>
      <c r="I14" s="9"/>
      <c r="J14" s="2"/>
      <c r="K14" s="28"/>
      <c r="L14" s="24" t="s">
        <v>193</v>
      </c>
      <c r="M14" s="88" t="e">
        <f>M10*E23*E27</f>
        <v>#VALUE!</v>
      </c>
      <c r="N14" s="88"/>
      <c r="O14" s="88"/>
      <c r="P14" s="33" t="s">
        <v>192</v>
      </c>
      <c r="Q14" s="30"/>
      <c r="R14" s="2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2"/>
      <c r="D15" s="2"/>
      <c r="E15" s="41"/>
      <c r="F15" s="42"/>
      <c r="G15" s="40"/>
      <c r="H15" s="40"/>
      <c r="I15" s="9"/>
      <c r="J15" s="2"/>
      <c r="K15" s="2"/>
      <c r="L15" s="24" t="s">
        <v>71</v>
      </c>
      <c r="M15" s="89" t="e">
        <f>M14/(24/M16)</f>
        <v>#VALUE!</v>
      </c>
      <c r="N15" s="89"/>
      <c r="O15" s="89"/>
      <c r="P15" s="2" t="s">
        <v>70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37" t="s">
        <v>228</v>
      </c>
      <c r="C16" s="37"/>
      <c r="D16" s="38"/>
      <c r="E16" s="90"/>
      <c r="F16" s="90"/>
      <c r="G16" s="39" t="s">
        <v>82</v>
      </c>
      <c r="H16" s="39"/>
      <c r="I16" s="9">
        <f ca="1">(G17-(G14+I13))*24</f>
        <v>6</v>
      </c>
      <c r="J16" s="2"/>
      <c r="K16" s="28"/>
      <c r="L16" s="24" t="s">
        <v>72</v>
      </c>
      <c r="M16" s="89" t="e">
        <f>LN(M12/M11)/-E23+M13</f>
        <v>#VALUE!</v>
      </c>
      <c r="N16" s="89"/>
      <c r="O16" s="89"/>
      <c r="P16" s="28" t="s">
        <v>189</v>
      </c>
      <c r="Q16" s="30"/>
      <c r="R16" s="2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/>
      <c r="B17" s="37" t="s">
        <v>179</v>
      </c>
      <c r="C17" s="37"/>
      <c r="D17" s="38"/>
      <c r="E17" s="58">
        <f ca="1">TODAY()</f>
        <v>44364</v>
      </c>
      <c r="F17" s="59">
        <v>0.5</v>
      </c>
      <c r="G17" s="97">
        <f ca="1">E17+F17</f>
        <v>44364.5</v>
      </c>
      <c r="H17" s="97"/>
      <c r="I17" s="9">
        <f ca="1">(G20-G17)*24</f>
        <v>6</v>
      </c>
      <c r="J17" s="2"/>
      <c r="K17" s="28"/>
      <c r="L17" s="28"/>
      <c r="M17" s="28"/>
      <c r="N17" s="28"/>
      <c r="O17" s="31"/>
      <c r="P17" s="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/>
      <c r="B18" s="11"/>
      <c r="C18" s="11"/>
      <c r="D18" s="27"/>
      <c r="E18" s="52"/>
      <c r="F18" s="53"/>
      <c r="G18" s="51"/>
      <c r="H18" s="51"/>
      <c r="I18" s="9"/>
      <c r="J18" s="2"/>
      <c r="K18" s="28"/>
      <c r="L18" s="28"/>
      <c r="M18" s="28"/>
      <c r="N18" s="28"/>
      <c r="O18" s="31"/>
      <c r="P18" s="3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 t="s">
        <v>229</v>
      </c>
      <c r="C19" s="2"/>
      <c r="D19" s="22"/>
      <c r="E19" s="90"/>
      <c r="F19" s="90"/>
      <c r="G19" s="2" t="s">
        <v>82</v>
      </c>
      <c r="H19" s="2"/>
      <c r="I19" s="9"/>
      <c r="J19" s="2"/>
      <c r="K19" s="28"/>
      <c r="L19" s="28"/>
      <c r="M19" s="28"/>
      <c r="N19" s="28"/>
      <c r="O19" s="29"/>
      <c r="P19" s="29"/>
      <c r="Q19" s="30"/>
      <c r="R19" s="2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2" t="s">
        <v>190</v>
      </c>
      <c r="C20" s="2"/>
      <c r="D20" s="22"/>
      <c r="E20" s="58">
        <f ca="1">TODAY()</f>
        <v>44364</v>
      </c>
      <c r="F20" s="60">
        <v>0.75</v>
      </c>
      <c r="G20" s="93">
        <f ca="1">E20+F20</f>
        <v>44364.75</v>
      </c>
      <c r="H20" s="86"/>
      <c r="I20" s="9"/>
      <c r="J20" s="2"/>
      <c r="K20" s="28"/>
      <c r="L20" s="28"/>
      <c r="M20" s="28"/>
      <c r="N20" s="28"/>
      <c r="O20" s="29"/>
      <c r="P20" s="29"/>
      <c r="Q20" s="30"/>
      <c r="R20" s="2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2"/>
      <c r="C21" s="2"/>
      <c r="D21" s="22"/>
      <c r="E21" s="48"/>
      <c r="F21" s="48"/>
      <c r="G21" s="2"/>
      <c r="H21" s="2"/>
      <c r="I21" s="9"/>
      <c r="J21" s="2"/>
      <c r="K21" s="28"/>
      <c r="L21" s="28"/>
      <c r="M21" s="28"/>
      <c r="N21" s="28"/>
      <c r="O21" s="29"/>
      <c r="P21" s="2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1" x14ac:dyDescent="0.35">
      <c r="A22" s="2"/>
      <c r="B22" s="71" t="s">
        <v>181</v>
      </c>
      <c r="C22" s="71"/>
      <c r="D22" s="71"/>
      <c r="E22" s="71"/>
      <c r="F22" s="71"/>
      <c r="G22" s="71"/>
      <c r="H22" s="71"/>
      <c r="I22" s="9"/>
      <c r="J22" s="2"/>
      <c r="K22" s="71" t="s">
        <v>99</v>
      </c>
      <c r="L22" s="71"/>
      <c r="M22" s="71"/>
      <c r="N22" s="71"/>
      <c r="O22" s="71"/>
      <c r="P22" s="71"/>
      <c r="Q22" s="71"/>
      <c r="R22" s="7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3">
      <c r="A23" s="2"/>
      <c r="B23" s="2"/>
      <c r="C23" s="2"/>
      <c r="D23" s="22" t="s">
        <v>65</v>
      </c>
      <c r="E23" s="94" t="str">
        <f>IF(E11=0,"",(LN(E16/E19))/I17)</f>
        <v/>
      </c>
      <c r="F23" s="94"/>
      <c r="G23" s="2" t="s">
        <v>186</v>
      </c>
      <c r="H23" s="2"/>
      <c r="I23" s="9"/>
      <c r="J23" s="2"/>
      <c r="K23" s="2"/>
      <c r="L23" s="24" t="s">
        <v>75</v>
      </c>
      <c r="M23" s="74" t="e">
        <f>TLKworksheet!AB1</f>
        <v>#DIV/0!</v>
      </c>
      <c r="N23" s="74"/>
      <c r="O23" s="74"/>
      <c r="P23" s="2" t="s">
        <v>70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3">
      <c r="A24" s="2"/>
      <c r="B24" s="2"/>
      <c r="C24" s="2"/>
      <c r="D24" s="22" t="s">
        <v>182</v>
      </c>
      <c r="E24" s="89" t="str">
        <f>IF(E23="","",LN(2)/E23)</f>
        <v/>
      </c>
      <c r="F24" s="89"/>
      <c r="G24" s="2" t="s">
        <v>186</v>
      </c>
      <c r="H24" s="2"/>
      <c r="I24" s="9"/>
      <c r="J24" s="2"/>
      <c r="K24" s="2"/>
      <c r="L24" s="24" t="s">
        <v>76</v>
      </c>
      <c r="M24" s="74" t="e">
        <f>TLKworksheet!AC1</f>
        <v>#DIV/0!</v>
      </c>
      <c r="N24" s="74"/>
      <c r="O24" s="74"/>
      <c r="P24" s="2" t="s">
        <v>46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3">
      <c r="A25" s="2"/>
      <c r="B25" s="2"/>
      <c r="C25" s="2"/>
      <c r="D25" s="22" t="s">
        <v>183</v>
      </c>
      <c r="E25" s="89" t="str">
        <f>IF(E23="","",E16/(EXP(-E23*I16)))</f>
        <v/>
      </c>
      <c r="F25" s="89"/>
      <c r="G25" s="2" t="s">
        <v>82</v>
      </c>
      <c r="H25" s="2"/>
      <c r="I25" s="9"/>
      <c r="J25" s="2"/>
      <c r="K25" s="2"/>
      <c r="L25" s="24" t="s">
        <v>77</v>
      </c>
      <c r="M25" s="74" t="e">
        <f>VLOOKUP(M23,DLsheet!E13:F21,2,FALSE)</f>
        <v>#DIV/0!</v>
      </c>
      <c r="N25" s="74"/>
      <c r="O25" s="74"/>
      <c r="P25" s="2" t="s">
        <v>46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3">
      <c r="A26" s="2"/>
      <c r="B26" s="9">
        <f ca="1">IF(G14="inches",E14,E14/2.54)</f>
        <v>17466.141732283464</v>
      </c>
      <c r="C26" s="2"/>
      <c r="D26" s="27" t="s">
        <v>184</v>
      </c>
      <c r="E26" s="89" t="str">
        <f>IF(E12="","",IF(E12="N/A","",E25*EXP(-E23*(E12-E13))))</f>
        <v/>
      </c>
      <c r="F26" s="89"/>
      <c r="G26" s="2" t="s">
        <v>82</v>
      </c>
      <c r="H26" s="2"/>
      <c r="I26" s="9" t="e">
        <f>(E11/E13)*(1-EXP(-E23*E13))/(E23*E25)</f>
        <v>#DIV/0!</v>
      </c>
      <c r="J26" s="2"/>
      <c r="K26" s="2"/>
      <c r="L26" s="24" t="s">
        <v>78</v>
      </c>
      <c r="M26" s="75" t="e">
        <f>M23*24/M24/E23/E27</f>
        <v>#DIV/0!</v>
      </c>
      <c r="N26" s="75"/>
      <c r="O26" s="75"/>
      <c r="P26" s="2" t="s">
        <v>81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35">
      <c r="A27" s="2"/>
      <c r="B27" s="9"/>
      <c r="C27" s="2"/>
      <c r="D27" s="27" t="s">
        <v>64</v>
      </c>
      <c r="E27" s="89" t="e">
        <f>IF(E10="First Dose",I26,IF(E10="Steady state",I27,""))</f>
        <v>#DIV/0!</v>
      </c>
      <c r="F27" s="89"/>
      <c r="G27" s="2" t="s">
        <v>66</v>
      </c>
      <c r="H27" s="2"/>
      <c r="I27" s="45" t="e">
        <f>(E11/E13)*(1-EXP(-E23*E13))/(E23*E25*(1-EXP(-E23*E12)))</f>
        <v>#DIV/0!</v>
      </c>
      <c r="J27" s="32"/>
      <c r="K27" s="32"/>
      <c r="L27" s="24" t="s">
        <v>79</v>
      </c>
      <c r="M27" s="75" t="e">
        <f>(M23/E27)/(1-EXP(-E23*M24))</f>
        <v>#DIV/0!</v>
      </c>
      <c r="N27" s="75"/>
      <c r="O27" s="75"/>
      <c r="P27" s="2" t="s">
        <v>82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3">
      <c r="A28" s="2"/>
      <c r="B28" s="16"/>
      <c r="C28" s="2"/>
      <c r="D28" s="22" t="s">
        <v>185</v>
      </c>
      <c r="E28" s="89" t="e">
        <f>IF(E10="First Dose",E23*I26*1000/60,IF(E10="Steady State",E23*I27*1000/60,""))</f>
        <v>#VALUE!</v>
      </c>
      <c r="F28" s="89"/>
      <c r="G28" s="2" t="s">
        <v>18</v>
      </c>
      <c r="H28" s="2"/>
      <c r="I28" s="22"/>
      <c r="J28" s="34"/>
      <c r="K28" s="2"/>
      <c r="L28" s="24" t="s">
        <v>80</v>
      </c>
      <c r="M28" s="75" t="e">
        <f>M27*EXP(-E23*(M24-M25))</f>
        <v>#DIV/0!</v>
      </c>
      <c r="N28" s="75"/>
      <c r="O28" s="75"/>
      <c r="P28" s="2" t="s">
        <v>82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5">
      <c r="A29" s="2"/>
      <c r="B29" s="43"/>
      <c r="C29" s="39"/>
      <c r="D29" s="65" t="s">
        <v>187</v>
      </c>
      <c r="E29" s="91" t="str">
        <f>IF(E12="","",IF(E12="N/A","",E11*(24/E12)/(E28*60/1000)))</f>
        <v/>
      </c>
      <c r="F29" s="91"/>
      <c r="G29" s="92" t="s">
        <v>81</v>
      </c>
      <c r="H29" s="92"/>
      <c r="I29" s="22"/>
      <c r="J29" s="35"/>
      <c r="K29" s="2"/>
      <c r="L29" s="2"/>
      <c r="M29" s="2"/>
      <c r="N29" s="11"/>
      <c r="O29" s="2"/>
      <c r="P29" s="2"/>
      <c r="Q29" s="11"/>
      <c r="R29" s="11"/>
      <c r="S29" s="11"/>
      <c r="T29" s="1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5">
      <c r="A30" s="2"/>
      <c r="B30" s="43"/>
      <c r="C30" s="39"/>
      <c r="D30" s="65" t="s">
        <v>188</v>
      </c>
      <c r="E30" s="91"/>
      <c r="F30" s="91"/>
      <c r="G30" s="92"/>
      <c r="H30" s="92"/>
      <c r="I30" s="22"/>
      <c r="J30" s="34"/>
      <c r="K30" s="2"/>
      <c r="L30" s="2"/>
      <c r="M30" s="72" t="s">
        <v>191</v>
      </c>
      <c r="N30" s="72"/>
      <c r="O30" s="72"/>
      <c r="P30" s="72"/>
      <c r="Q30" s="72"/>
      <c r="R30" s="11"/>
      <c r="S30" s="11"/>
      <c r="T30" s="1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5">
      <c r="A31" s="2"/>
      <c r="B31" s="2"/>
      <c r="C31" s="2"/>
      <c r="D31" s="2"/>
      <c r="E31" s="2"/>
      <c r="F31" s="2"/>
      <c r="G31" s="2"/>
      <c r="H31" s="2"/>
      <c r="I31" s="22"/>
      <c r="J31" s="36"/>
      <c r="K31" s="36"/>
      <c r="L31" s="17"/>
      <c r="M31" s="17"/>
      <c r="N31" s="17"/>
      <c r="O31" s="18" t="s">
        <v>102</v>
      </c>
      <c r="P31" s="18" t="s">
        <v>87</v>
      </c>
      <c r="Q31" s="18" t="s">
        <v>88</v>
      </c>
      <c r="R31" s="2"/>
      <c r="S31" s="11"/>
      <c r="T31" s="11"/>
      <c r="U31" s="11"/>
      <c r="V31" s="11"/>
      <c r="W31" s="11"/>
      <c r="X31" s="11"/>
      <c r="Y31" s="11"/>
      <c r="Z31" s="2"/>
      <c r="AA31" s="2"/>
      <c r="AB31" s="2"/>
      <c r="AC31" s="2"/>
      <c r="AD31" s="2"/>
      <c r="AE31" s="2"/>
    </row>
    <row r="32" spans="1:31" ht="15.75" customHeight="1" x14ac:dyDescent="0.25">
      <c r="A32" s="2"/>
      <c r="B32" s="2"/>
      <c r="C32" s="2"/>
      <c r="D32" s="2"/>
      <c r="E32" s="2"/>
      <c r="F32" s="2"/>
      <c r="G32" s="2"/>
      <c r="H32" s="2"/>
      <c r="I32" s="22"/>
      <c r="J32" s="36"/>
      <c r="K32" s="36"/>
      <c r="L32" s="17">
        <v>1</v>
      </c>
      <c r="M32" s="17" t="e">
        <f>CONCATENATE(TLKworksheet!AB1,"mg IV q",TLKworksheet!AC1,"h")</f>
        <v>#DIV/0!</v>
      </c>
      <c r="N32" s="17"/>
      <c r="O32" s="18" t="e">
        <f>ROUND(TLKworksheet!AG1,1)</f>
        <v>#DIV/0!</v>
      </c>
      <c r="P32" s="18" t="e">
        <f>ROUND(TLKworksheet!AE1,1)</f>
        <v>#DIV/0!</v>
      </c>
      <c r="Q32" s="18" t="e">
        <f>ROUND(TLKworksheet!AF1,1)</f>
        <v>#DIV/0!</v>
      </c>
      <c r="R32" s="2"/>
      <c r="S32" s="11"/>
      <c r="T32" s="11"/>
      <c r="U32" s="11"/>
      <c r="V32" s="11"/>
      <c r="W32" s="11"/>
      <c r="X32" s="11"/>
      <c r="Y32" s="11"/>
      <c r="Z32" s="2"/>
      <c r="AA32" s="2"/>
      <c r="AB32" s="2"/>
      <c r="AC32" s="2"/>
      <c r="AD32" s="2"/>
      <c r="AE32" s="2"/>
    </row>
    <row r="33" spans="1:31" ht="15.75" customHeight="1" x14ac:dyDescent="0.25">
      <c r="A33" s="2"/>
      <c r="B33" s="2"/>
      <c r="C33" s="2"/>
      <c r="D33" s="2"/>
      <c r="E33" s="2"/>
      <c r="F33" s="2"/>
      <c r="G33" s="2"/>
      <c r="H33" s="2"/>
      <c r="I33" s="22"/>
      <c r="J33" s="36"/>
      <c r="K33" s="36"/>
      <c r="L33" s="17">
        <v>2</v>
      </c>
      <c r="M33" s="17" t="e">
        <f>CONCATENATE(TLKworksheet!AB2,"mg IV q",TLKworksheet!AC2,"h")</f>
        <v>#DIV/0!</v>
      </c>
      <c r="N33" s="17"/>
      <c r="O33" s="18" t="e">
        <f>ROUND(TLKworksheet!AG2,1)</f>
        <v>#DIV/0!</v>
      </c>
      <c r="P33" s="18" t="e">
        <f>ROUND(TLKworksheet!AE2,1)</f>
        <v>#DIV/0!</v>
      </c>
      <c r="Q33" s="18" t="e">
        <f>ROUND(TLKworksheet!AF2,1)</f>
        <v>#DIV/0!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7">
        <v>3</v>
      </c>
      <c r="M34" s="17" t="e">
        <f>CONCATENATE(TLKworksheet!AB3,"mg IV q",TLKworksheet!AC3,"h")</f>
        <v>#DIV/0!</v>
      </c>
      <c r="N34" s="17"/>
      <c r="O34" s="18" t="e">
        <f>ROUND(TLKworksheet!AG3,1)</f>
        <v>#DIV/0!</v>
      </c>
      <c r="P34" s="18" t="e">
        <f>ROUND(TLKworksheet!AE3,1)</f>
        <v>#DIV/0!</v>
      </c>
      <c r="Q34" s="18" t="e">
        <f>ROUND(TLKworksheet!AF3,1)</f>
        <v>#DIV/0!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</sheetData>
  <sheetProtection sheet="1" selectLockedCells="1"/>
  <mergeCells count="39">
    <mergeCell ref="R3:X4"/>
    <mergeCell ref="R1:X2"/>
    <mergeCell ref="G14:H14"/>
    <mergeCell ref="E13:F13"/>
    <mergeCell ref="G17:H17"/>
    <mergeCell ref="E16:F16"/>
    <mergeCell ref="E11:F11"/>
    <mergeCell ref="E12:F12"/>
    <mergeCell ref="G5:M6"/>
    <mergeCell ref="R5:X6"/>
    <mergeCell ref="B9:H9"/>
    <mergeCell ref="E10:F10"/>
    <mergeCell ref="K9:R9"/>
    <mergeCell ref="M10:O10"/>
    <mergeCell ref="M11:O11"/>
    <mergeCell ref="M12:O12"/>
    <mergeCell ref="E19:F19"/>
    <mergeCell ref="E29:F30"/>
    <mergeCell ref="G29:H30"/>
    <mergeCell ref="B22:H22"/>
    <mergeCell ref="G20:H20"/>
    <mergeCell ref="E23:F23"/>
    <mergeCell ref="E24:F24"/>
    <mergeCell ref="E25:F25"/>
    <mergeCell ref="E26:F26"/>
    <mergeCell ref="E27:F27"/>
    <mergeCell ref="E28:F28"/>
    <mergeCell ref="M30:Q30"/>
    <mergeCell ref="M26:O26"/>
    <mergeCell ref="M27:O27"/>
    <mergeCell ref="M28:O28"/>
    <mergeCell ref="M13:O13"/>
    <mergeCell ref="M14:O14"/>
    <mergeCell ref="K22:R22"/>
    <mergeCell ref="M23:O23"/>
    <mergeCell ref="M24:O24"/>
    <mergeCell ref="M25:O25"/>
    <mergeCell ref="M15:O15"/>
    <mergeCell ref="M16:O16"/>
  </mergeCells>
  <dataValidations count="1">
    <dataValidation type="decimal" allowBlank="1" showInputMessage="1" showErrorMessage="1" sqref="E11:F11" xr:uid="{4EDC5452-D30E-4243-8CEE-DA5B964EA287}">
      <formula1>440</formula1>
      <formula2>3600</formula2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Button3_Click">
                <anchor moveWithCells="1" sizeWithCells="1">
                  <from>
                    <xdr:col>3</xdr:col>
                    <xdr:colOff>381000</xdr:colOff>
                    <xdr:row>13</xdr:row>
                    <xdr:rowOff>19050</xdr:rowOff>
                  </from>
                  <to>
                    <xdr:col>3</xdr:col>
                    <xdr:colOff>561975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Button 5">
              <controlPr defaultSize="0" print="0" autoFill="0" autoPict="0" macro="[0]!Button5_Click" altText="T">
                <anchor moveWithCells="1" sizeWithCells="1">
                  <from>
                    <xdr:col>3</xdr:col>
                    <xdr:colOff>581025</xdr:colOff>
                    <xdr:row>13</xdr:row>
                    <xdr:rowOff>19050</xdr:rowOff>
                  </from>
                  <to>
                    <xdr:col>3</xdr:col>
                    <xdr:colOff>762000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Button 6">
              <controlPr defaultSize="0" print="0" autoFill="0" autoPict="0" macro="[0]!Button6_Click">
                <anchor moveWithCells="1" sizeWithCells="1">
                  <from>
                    <xdr:col>3</xdr:col>
                    <xdr:colOff>390525</xdr:colOff>
                    <xdr:row>16</xdr:row>
                    <xdr:rowOff>19050</xdr:rowOff>
                  </from>
                  <to>
                    <xdr:col>3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Button 7">
              <controlPr defaultSize="0" print="0" autoFill="0" autoPict="0" macro="[0]!Button7_Click">
                <anchor moveWithCells="1" sizeWithCells="1">
                  <from>
                    <xdr:col>3</xdr:col>
                    <xdr:colOff>590550</xdr:colOff>
                    <xdr:row>16</xdr:row>
                    <xdr:rowOff>19050</xdr:rowOff>
                  </from>
                  <to>
                    <xdr:col>3</xdr:col>
                    <xdr:colOff>771525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Button 8">
              <controlPr defaultSize="0" print="0" autoFill="0" autoPict="0" macro="[0]!Button8_Click">
                <anchor moveWithCells="1" sizeWithCells="1">
                  <from>
                    <xdr:col>3</xdr:col>
                    <xdr:colOff>390525</xdr:colOff>
                    <xdr:row>19</xdr:row>
                    <xdr:rowOff>19050</xdr:rowOff>
                  </from>
                  <to>
                    <xdr:col>3</xdr:col>
                    <xdr:colOff>571500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Button 9">
              <controlPr defaultSize="0" print="0" autoFill="0" autoPict="0" macro="[0]!Button9_Click">
                <anchor moveWithCells="1" sizeWithCells="1">
                  <from>
                    <xdr:col>3</xdr:col>
                    <xdr:colOff>600075</xdr:colOff>
                    <xdr:row>19</xdr:row>
                    <xdr:rowOff>19050</xdr:rowOff>
                  </from>
                  <to>
                    <xdr:col>3</xdr:col>
                    <xdr:colOff>781050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2A6564-73F1-49C6-B448-54CDC2A4A920}">
          <x14:formula1>
            <xm:f>DLsheet!$E$6:$E$7</xm:f>
          </x14:formula1>
          <xm:sqref>H16</xm:sqref>
        </x14:dataValidation>
        <x14:dataValidation type="list" allowBlank="1" showInputMessage="1" showErrorMessage="1" xr:uid="{7881D27B-D86B-404F-B211-87358E6DC22C}">
          <x14:formula1>
            <xm:f>DLsheet!$K$6:$K$7</xm:f>
          </x14:formula1>
          <xm:sqref>E10:F10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99AC-00A4-49C5-81D3-C3239ADEFB15}">
  <sheetPr codeName="Sheet11"/>
  <dimension ref="A1:S40"/>
  <sheetViews>
    <sheetView workbookViewId="0">
      <selection activeCell="B2" sqref="B2:B30"/>
    </sheetView>
  </sheetViews>
  <sheetFormatPr defaultRowHeight="15" x14ac:dyDescent="0.25"/>
  <cols>
    <col min="1" max="1" width="9.140625" customWidth="1"/>
    <col min="2" max="2" width="102.85546875" customWidth="1"/>
  </cols>
  <sheetData>
    <row r="1" spans="1:19" ht="18.75" x14ac:dyDescent="0.3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5">
      <c r="A2" s="1"/>
      <c r="B2" s="87" t="e">
        <f ca="1">DLsheet!V53</f>
        <v>#VALUE!</v>
      </c>
      <c r="C2" s="1"/>
      <c r="D2" s="1"/>
      <c r="E2" s="1"/>
      <c r="F2" s="1"/>
      <c r="G2" s="1"/>
      <c r="H2" s="1"/>
      <c r="I2" s="1"/>
      <c r="J2" s="1"/>
      <c r="K2" s="85" t="s">
        <v>169</v>
      </c>
      <c r="L2" s="85"/>
      <c r="M2" s="85"/>
      <c r="N2" s="85"/>
      <c r="O2" s="85"/>
      <c r="P2" s="85"/>
      <c r="Q2" s="85"/>
      <c r="R2" s="1"/>
      <c r="S2" s="1"/>
    </row>
    <row r="3" spans="1:19" ht="15" customHeight="1" x14ac:dyDescent="0.25">
      <c r="A3" s="1"/>
      <c r="B3" s="87"/>
      <c r="C3" s="1"/>
      <c r="D3" s="1"/>
      <c r="E3" s="1"/>
      <c r="F3" s="1"/>
      <c r="G3" s="1"/>
      <c r="H3" s="1"/>
      <c r="I3" s="1"/>
      <c r="J3" s="1"/>
      <c r="K3" s="85"/>
      <c r="L3" s="85"/>
      <c r="M3" s="85"/>
      <c r="N3" s="85"/>
      <c r="O3" s="85"/>
      <c r="P3" s="85"/>
      <c r="Q3" s="85"/>
      <c r="R3" s="1"/>
      <c r="S3" s="1"/>
    </row>
    <row r="4" spans="1:19" ht="18.75" x14ac:dyDescent="0.3">
      <c r="A4" s="61"/>
      <c r="B4" s="8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87"/>
      <c r="C5" s="1"/>
      <c r="D5" s="1"/>
      <c r="E5" s="1"/>
      <c r="F5" s="1"/>
      <c r="G5" s="1"/>
      <c r="H5" s="1"/>
      <c r="I5" s="1"/>
      <c r="J5" s="1"/>
      <c r="K5" s="85" t="s">
        <v>237</v>
      </c>
      <c r="L5" s="85"/>
      <c r="M5" s="85"/>
      <c r="N5" s="85"/>
      <c r="O5" s="85"/>
      <c r="P5" s="85"/>
      <c r="Q5" s="85"/>
      <c r="R5" s="1"/>
      <c r="S5" s="1"/>
    </row>
    <row r="6" spans="1:19" x14ac:dyDescent="0.25">
      <c r="A6" s="1"/>
      <c r="B6" s="87"/>
      <c r="C6" s="1"/>
      <c r="D6" s="1"/>
      <c r="E6" s="1"/>
      <c r="F6" s="1"/>
      <c r="G6" s="1"/>
      <c r="H6" s="1"/>
      <c r="I6" s="1"/>
      <c r="J6" s="1"/>
      <c r="K6" s="85"/>
      <c r="L6" s="85"/>
      <c r="M6" s="85"/>
      <c r="N6" s="85"/>
      <c r="O6" s="85"/>
      <c r="P6" s="85"/>
      <c r="Q6" s="85"/>
      <c r="R6" s="1"/>
      <c r="S6" s="1"/>
    </row>
    <row r="7" spans="1:19" ht="18.75" x14ac:dyDescent="0.3">
      <c r="A7" s="61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87"/>
      <c r="C8" s="1"/>
      <c r="D8" s="1"/>
      <c r="E8" s="1"/>
      <c r="F8" s="1"/>
      <c r="G8" s="1"/>
      <c r="H8" s="1"/>
      <c r="I8" s="1"/>
      <c r="J8" s="1"/>
      <c r="K8" s="85"/>
      <c r="L8" s="85"/>
      <c r="M8" s="85"/>
      <c r="N8" s="85"/>
      <c r="O8" s="85"/>
      <c r="P8" s="85"/>
      <c r="Q8" s="85"/>
      <c r="R8" s="1"/>
      <c r="S8" s="1"/>
    </row>
    <row r="9" spans="1:19" x14ac:dyDescent="0.25">
      <c r="A9" s="1"/>
      <c r="B9" s="87"/>
      <c r="C9" s="1"/>
      <c r="D9" s="1"/>
      <c r="E9" s="1"/>
      <c r="F9" s="1"/>
      <c r="G9" s="1"/>
      <c r="H9" s="1"/>
      <c r="I9" s="1"/>
      <c r="J9" s="1"/>
      <c r="K9" s="85"/>
      <c r="L9" s="85"/>
      <c r="M9" s="85"/>
      <c r="N9" s="85"/>
      <c r="O9" s="85"/>
      <c r="P9" s="85"/>
      <c r="Q9" s="85"/>
      <c r="R9" s="1"/>
      <c r="S9" s="1"/>
    </row>
    <row r="10" spans="1:19" ht="18.75" x14ac:dyDescent="0.3">
      <c r="A10" s="61"/>
      <c r="B10" s="8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8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8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8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8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8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8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8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8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8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8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8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8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8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8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8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8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8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8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8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8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6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6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6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6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6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6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6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 sheet="1" objects="1" scenarios="1" selectLockedCells="1"/>
  <mergeCells count="4">
    <mergeCell ref="K2:Q3"/>
    <mergeCell ref="K5:Q6"/>
    <mergeCell ref="B2:B30"/>
    <mergeCell ref="K8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C143B-DBB5-4673-801B-9B2F3934ACEF}">
  <sheetPr codeName="Sheet9"/>
  <dimension ref="A1:AG100"/>
  <sheetViews>
    <sheetView topLeftCell="E1" workbookViewId="0">
      <selection activeCell="AA1" sqref="AA1"/>
    </sheetView>
  </sheetViews>
  <sheetFormatPr defaultRowHeight="15" x14ac:dyDescent="0.25"/>
  <cols>
    <col min="10" max="10" width="12" bestFit="1" customWidth="1"/>
    <col min="11" max="11" width="10.28515625" bestFit="1" customWidth="1"/>
    <col min="12" max="12" width="9.42578125" bestFit="1" customWidth="1"/>
    <col min="13" max="13" width="9.5703125" bestFit="1" customWidth="1"/>
  </cols>
  <sheetData>
    <row r="1" spans="1:33" x14ac:dyDescent="0.25">
      <c r="A1" t="str">
        <f>TwoLevelVANCOMYCINcalc!E23</f>
        <v/>
      </c>
      <c r="B1" t="e">
        <f>TwoLevelVANCOMYCINcalc!E27</f>
        <v>#DIV/0!</v>
      </c>
      <c r="C1">
        <v>8</v>
      </c>
      <c r="D1">
        <v>12</v>
      </c>
      <c r="E1">
        <v>18</v>
      </c>
      <c r="F1">
        <v>24</v>
      </c>
      <c r="G1">
        <v>36</v>
      </c>
      <c r="H1">
        <v>48</v>
      </c>
      <c r="J1" t="s">
        <v>90</v>
      </c>
      <c r="K1" t="s">
        <v>91</v>
      </c>
      <c r="L1" t="s">
        <v>92</v>
      </c>
      <c r="M1" t="s">
        <v>93</v>
      </c>
      <c r="N1" s="12" t="s">
        <v>85</v>
      </c>
      <c r="O1" s="13" t="s">
        <v>75</v>
      </c>
      <c r="P1" s="13" t="s">
        <v>86</v>
      </c>
      <c r="Q1" s="13" t="s">
        <v>230</v>
      </c>
      <c r="R1" s="13" t="s">
        <v>96</v>
      </c>
      <c r="S1" t="s">
        <v>87</v>
      </c>
      <c r="T1" t="s">
        <v>88</v>
      </c>
      <c r="U1" t="s">
        <v>89</v>
      </c>
      <c r="Y1" t="s">
        <v>97</v>
      </c>
      <c r="Z1" t="s">
        <v>94</v>
      </c>
      <c r="AA1" t="e">
        <f>MIN(M2:M46)</f>
        <v>#DIV/0!</v>
      </c>
      <c r="AB1" t="e">
        <f>VLOOKUP(AA1,M:R,3,FALSE)</f>
        <v>#DIV/0!</v>
      </c>
      <c r="AC1" t="e">
        <f>VLOOKUP(AA1,M:R,4,FALSE)</f>
        <v>#DIV/0!</v>
      </c>
      <c r="AD1" t="e">
        <f>VLOOKUP(AA1,M:R,5,FALSE)</f>
        <v>#DIV/0!</v>
      </c>
      <c r="AE1" t="e">
        <f>VLOOKUP(AA1,M:U,7,FALSE)</f>
        <v>#DIV/0!</v>
      </c>
      <c r="AF1" t="e">
        <f>VLOOKUP(AA1,M:U,8,FALSE)</f>
        <v>#DIV/0!</v>
      </c>
      <c r="AG1" t="e">
        <f>VLOOKUP(AA1,M:U,9,FALSE)</f>
        <v>#DIV/0!</v>
      </c>
    </row>
    <row r="2" spans="1:33" x14ac:dyDescent="0.25">
      <c r="A2">
        <v>-0.5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J2" t="e">
        <f>((S2-TwoLevelVANCOMYCINcalc!$M$11)^2)/TwoLevelVANCOMYCINcalc!$M$11</f>
        <v>#DIV/0!</v>
      </c>
      <c r="K2" t="e">
        <f>((T2-TwoLevelVANCOMYCINcalc!$M$12)^2)/TwoLevelVANCOMYCINcalc!$M$12</f>
        <v>#DIV/0!</v>
      </c>
      <c r="L2" t="e">
        <f>((U2-TwoLevelVANCOMYCINcalc!$M$10)^2)/TwoLevelVANCOMYCINcalc!$M$10</f>
        <v>#DIV/0!</v>
      </c>
      <c r="M2" s="5" t="e">
        <f>IF(Q2="Yes",SUM(J2:L2),"")</f>
        <v>#DIV/0!</v>
      </c>
      <c r="N2" s="12">
        <f t="shared" ref="N2:N46" si="0">O2*24/P2</f>
        <v>250</v>
      </c>
      <c r="O2" s="14">
        <v>500</v>
      </c>
      <c r="P2" s="12">
        <v>48</v>
      </c>
      <c r="Q2" s="12" t="str">
        <f>VLOOKUP(P2,DLsheet!$I$15:$J$20,2,FALSE)</f>
        <v>Yes</v>
      </c>
      <c r="R2" s="14">
        <f>VLOOKUP(O2,DLsheet!$E$13:$F$21,2,FALSE)</f>
        <v>0.5</v>
      </c>
      <c r="S2" t="e">
        <f t="shared" ref="S2:S46" si="1">O2/$B$1/(1-EXP(-$A$1*P2))</f>
        <v>#DIV/0!</v>
      </c>
      <c r="T2" t="e">
        <f t="shared" ref="T2:T46" si="2">S2*EXP(-$A$1*(P2-R2))</f>
        <v>#DIV/0!</v>
      </c>
      <c r="U2" t="e">
        <f t="shared" ref="U2:U46" si="3">O2*24/P2/$B$1/$A$1</f>
        <v>#DIV/0!</v>
      </c>
      <c r="Y2" t="s">
        <v>98</v>
      </c>
      <c r="Z2" t="s">
        <v>95</v>
      </c>
      <c r="AA2" t="e">
        <f>SMALL(M2:M46,2)</f>
        <v>#DIV/0!</v>
      </c>
      <c r="AB2" t="e">
        <f>VLOOKUP(AA2,M:R,3,FALSE)</f>
        <v>#DIV/0!</v>
      </c>
      <c r="AC2" t="e">
        <f>VLOOKUP(AA2,M:R,4,FALSE)</f>
        <v>#DIV/0!</v>
      </c>
      <c r="AD2" t="e">
        <f>VLOOKUP(AA2,M:R,5,FALSE)</f>
        <v>#DIV/0!</v>
      </c>
      <c r="AE2" t="e">
        <f>VLOOKUP(AA2,M:U,7,FALSE)</f>
        <v>#DIV/0!</v>
      </c>
      <c r="AF2" t="e">
        <f>VLOOKUP(AA2,M:U,8,FALSE)</f>
        <v>#DIV/0!</v>
      </c>
      <c r="AG2" t="e">
        <f>VLOOKUP(AA2,M:U,9,FALSE)</f>
        <v>#DIV/0!</v>
      </c>
    </row>
    <row r="3" spans="1:33" x14ac:dyDescent="0.25">
      <c r="A3">
        <v>0</v>
      </c>
      <c r="B3" t="e">
        <f>HLOOKUP(TwoLevelVANCOMYCINcalc!$M$24,TLKworksheet!$C$1:$H$100,I3,FALSE)</f>
        <v>#DIV/0!</v>
      </c>
      <c r="C3" t="e">
        <f>TwoLevelVANCOMYCINcalc!M23/TwoLevelVANCOMYCINcalc!E27</f>
        <v>#DIV/0!</v>
      </c>
      <c r="D3" t="e">
        <f>TwoLevelVANCOMYCINcalc!M23/TwoLevelVANCOMYCINcalc!E27</f>
        <v>#DIV/0!</v>
      </c>
      <c r="E3" t="e">
        <f>TwoLevelVANCOMYCINcalc!M23/TwoLevelVANCOMYCINcalc!E27</f>
        <v>#DIV/0!</v>
      </c>
      <c r="F3" t="e">
        <f>TwoLevelVANCOMYCINcalc!M23/TwoLevelVANCOMYCINcalc!E27</f>
        <v>#DIV/0!</v>
      </c>
      <c r="G3" t="e">
        <f>TwoLevelVANCOMYCINcalc!M23/TwoLevelVANCOMYCINcalc!E27</f>
        <v>#DIV/0!</v>
      </c>
      <c r="H3" t="e">
        <f>TwoLevelVANCOMYCINcalc!M23/TwoLevelVANCOMYCINcalc!E27</f>
        <v>#DIV/0!</v>
      </c>
      <c r="I3">
        <v>3</v>
      </c>
      <c r="J3" t="e">
        <f>((S3-TwoLevelVANCOMYCINcalc!$M$11)^2)/TwoLevelVANCOMYCINcalc!$M$11</f>
        <v>#DIV/0!</v>
      </c>
      <c r="K3" t="e">
        <f>((T3-TwoLevelVANCOMYCINcalc!$M$12)^2)/TwoLevelVANCOMYCINcalc!$M$12</f>
        <v>#DIV/0!</v>
      </c>
      <c r="L3" t="e">
        <f>((U3-TwoLevelVANCOMYCINcalc!$M$10)^2)/TwoLevelVANCOMYCINcalc!$M$10</f>
        <v>#DIV/0!</v>
      </c>
      <c r="M3" s="5" t="str">
        <f t="shared" ref="M3:M46" si="4">IF(Q3="Yes",SUM(J3:L3),"")</f>
        <v/>
      </c>
      <c r="N3" s="12">
        <f t="shared" si="0"/>
        <v>333.33333333333331</v>
      </c>
      <c r="O3" s="14">
        <v>500</v>
      </c>
      <c r="P3" s="12">
        <v>36</v>
      </c>
      <c r="Q3" s="12" t="str">
        <f>VLOOKUP(P3,DLsheet!$I$15:$J$20,2,FALSE)</f>
        <v>No</v>
      </c>
      <c r="R3" s="14">
        <f>VLOOKUP(O3,DLsheet!$E$13:$F$21,2,FALSE)</f>
        <v>0.5</v>
      </c>
      <c r="S3" t="e">
        <f t="shared" si="1"/>
        <v>#DIV/0!</v>
      </c>
      <c r="T3" t="e">
        <f t="shared" si="2"/>
        <v>#DIV/0!</v>
      </c>
      <c r="U3" t="e">
        <f t="shared" si="3"/>
        <v>#DIV/0!</v>
      </c>
      <c r="Y3" t="s">
        <v>100</v>
      </c>
      <c r="Z3" t="s">
        <v>101</v>
      </c>
      <c r="AA3" t="e">
        <f>SMALL(M2:M46,3)</f>
        <v>#DIV/0!</v>
      </c>
      <c r="AB3" t="e">
        <f>VLOOKUP(AA3,M:R,3,FALSE)</f>
        <v>#DIV/0!</v>
      </c>
      <c r="AC3" t="e">
        <f>VLOOKUP(AA3,M:R,4,FALSE)</f>
        <v>#DIV/0!</v>
      </c>
      <c r="AD3" t="e">
        <f>VLOOKUP(AA3,M:R,5,FALSE)</f>
        <v>#DIV/0!</v>
      </c>
      <c r="AE3" t="e">
        <f>VLOOKUP(AA3,M:U,7,FALSE)</f>
        <v>#DIV/0!</v>
      </c>
      <c r="AF3" t="e">
        <f>VLOOKUP(AA3,M:U,8,FALSE)</f>
        <v>#DIV/0!</v>
      </c>
      <c r="AG3" t="e">
        <f>VLOOKUP(AA3,M:U,9,FALSE)</f>
        <v>#DIV/0!</v>
      </c>
    </row>
    <row r="4" spans="1:33" x14ac:dyDescent="0.25">
      <c r="A4">
        <v>0.5</v>
      </c>
      <c r="B4" t="e">
        <f>HLOOKUP(TwoLevelVANCOMYCINcalc!$M$24,TLKworksheet!$C$1:$H$100,I4,FALSE)</f>
        <v>#DIV/0!</v>
      </c>
      <c r="C4" t="e">
        <f>$C$3*EXP(-$A$1*TLKworksheet!$A4)</f>
        <v>#DIV/0!</v>
      </c>
      <c r="D4" t="e">
        <f>$C$3*EXP(-$A$1*TLKworksheet!$A4)</f>
        <v>#DIV/0!</v>
      </c>
      <c r="E4" t="e">
        <f>$C$3*EXP(-$A$1*TLKworksheet!$A4)</f>
        <v>#DIV/0!</v>
      </c>
      <c r="F4" t="e">
        <f>$C$3*EXP(-$A$1*TLKworksheet!$A4)</f>
        <v>#DIV/0!</v>
      </c>
      <c r="G4" t="e">
        <f>$C$3*EXP(-$A$1*TLKworksheet!$A4)</f>
        <v>#DIV/0!</v>
      </c>
      <c r="H4" t="e">
        <f>$C$3*EXP(-$A$1*TLKworksheet!$A4)</f>
        <v>#DIV/0!</v>
      </c>
      <c r="I4">
        <v>4</v>
      </c>
      <c r="J4" t="e">
        <f>((S4-TwoLevelVANCOMYCINcalc!$M$11)^2)/TwoLevelVANCOMYCINcalc!$M$11</f>
        <v>#DIV/0!</v>
      </c>
      <c r="K4" t="e">
        <f>((T4-TwoLevelVANCOMYCINcalc!$M$12)^2)/TwoLevelVANCOMYCINcalc!$M$12</f>
        <v>#DIV/0!</v>
      </c>
      <c r="L4" t="e">
        <f>((U4-TwoLevelVANCOMYCINcalc!$M$10)^2)/TwoLevelVANCOMYCINcalc!$M$10</f>
        <v>#DIV/0!</v>
      </c>
      <c r="M4" s="5" t="e">
        <f t="shared" si="4"/>
        <v>#DIV/0!</v>
      </c>
      <c r="N4" s="12">
        <f t="shared" si="0"/>
        <v>375</v>
      </c>
      <c r="O4" s="12">
        <v>750</v>
      </c>
      <c r="P4" s="12">
        <v>48</v>
      </c>
      <c r="Q4" s="12" t="str">
        <f>VLOOKUP(P4,DLsheet!$I$15:$J$20,2,FALSE)</f>
        <v>Yes</v>
      </c>
      <c r="R4" s="14">
        <f>VLOOKUP(O4,DLsheet!$E$13:$F$21,2,FALSE)</f>
        <v>1</v>
      </c>
      <c r="S4" t="e">
        <f t="shared" si="1"/>
        <v>#DIV/0!</v>
      </c>
      <c r="T4" t="e">
        <f t="shared" si="2"/>
        <v>#DIV/0!</v>
      </c>
      <c r="U4" t="e">
        <f t="shared" si="3"/>
        <v>#DIV/0!</v>
      </c>
    </row>
    <row r="5" spans="1:33" x14ac:dyDescent="0.25">
      <c r="A5">
        <v>1</v>
      </c>
      <c r="B5" t="e">
        <f>HLOOKUP(TwoLevelVANCOMYCINcalc!$M$24,TLKworksheet!$C$1:$H$100,I5,FALSE)</f>
        <v>#DIV/0!</v>
      </c>
      <c r="C5" t="e">
        <f>$C$3*EXP(-$A$1*TLKworksheet!$A5)</f>
        <v>#DIV/0!</v>
      </c>
      <c r="D5" t="e">
        <f>$C$3*EXP(-$A$1*TLKworksheet!$A5)</f>
        <v>#DIV/0!</v>
      </c>
      <c r="E5" t="e">
        <f>$C$3*EXP(-$A$1*TLKworksheet!$A5)</f>
        <v>#DIV/0!</v>
      </c>
      <c r="F5" t="e">
        <f>$C$3*EXP(-$A$1*TLKworksheet!$A5)</f>
        <v>#DIV/0!</v>
      </c>
      <c r="G5" t="e">
        <f>$C$3*EXP(-$A$1*TLKworksheet!$A5)</f>
        <v>#DIV/0!</v>
      </c>
      <c r="H5" t="e">
        <f>$C$3*EXP(-$A$1*TLKworksheet!$A5)</f>
        <v>#DIV/0!</v>
      </c>
      <c r="I5">
        <v>5</v>
      </c>
      <c r="J5" t="e">
        <f>((S5-TwoLevelVANCOMYCINcalc!$M$11)^2)/TwoLevelVANCOMYCINcalc!$M$11</f>
        <v>#DIV/0!</v>
      </c>
      <c r="K5" t="e">
        <f>((T5-TwoLevelVANCOMYCINcalc!$M$12)^2)/TwoLevelVANCOMYCINcalc!$M$12</f>
        <v>#DIV/0!</v>
      </c>
      <c r="L5" t="e">
        <f>((U5-TwoLevelVANCOMYCINcalc!$M$10)^2)/TwoLevelVANCOMYCINcalc!$M$10</f>
        <v>#DIV/0!</v>
      </c>
      <c r="M5" s="5" t="e">
        <f t="shared" si="4"/>
        <v>#DIV/0!</v>
      </c>
      <c r="N5" s="12">
        <f t="shared" si="0"/>
        <v>500</v>
      </c>
      <c r="O5" s="14">
        <v>500</v>
      </c>
      <c r="P5" s="12">
        <v>24</v>
      </c>
      <c r="Q5" s="12" t="str">
        <f>VLOOKUP(P5,DLsheet!$I$15:$J$20,2,FALSE)</f>
        <v>Yes</v>
      </c>
      <c r="R5" s="14">
        <f>VLOOKUP(O5,DLsheet!$E$13:$F$21,2,FALSE)</f>
        <v>0.5</v>
      </c>
      <c r="S5" t="e">
        <f t="shared" si="1"/>
        <v>#DIV/0!</v>
      </c>
      <c r="T5" t="e">
        <f t="shared" si="2"/>
        <v>#DIV/0!</v>
      </c>
      <c r="U5" t="e">
        <f t="shared" si="3"/>
        <v>#DIV/0!</v>
      </c>
    </row>
    <row r="6" spans="1:33" x14ac:dyDescent="0.25">
      <c r="A6">
        <v>1.5</v>
      </c>
      <c r="B6" t="e">
        <f>HLOOKUP(TwoLevelVANCOMYCINcalc!$M$24,TLKworksheet!$C$1:$H$100,I6,FALSE)</f>
        <v>#DIV/0!</v>
      </c>
      <c r="C6" t="e">
        <f>$C$3*EXP(-$A$1*TLKworksheet!$A6)</f>
        <v>#DIV/0!</v>
      </c>
      <c r="D6" t="e">
        <f>$C$3*EXP(-$A$1*TLKworksheet!$A6)</f>
        <v>#DIV/0!</v>
      </c>
      <c r="E6" t="e">
        <f>$C$3*EXP(-$A$1*TLKworksheet!$A6)</f>
        <v>#DIV/0!</v>
      </c>
      <c r="F6" t="e">
        <f>$C$3*EXP(-$A$1*TLKworksheet!$A6)</f>
        <v>#DIV/0!</v>
      </c>
      <c r="G6" t="e">
        <f>$C$3*EXP(-$A$1*TLKworksheet!$A6)</f>
        <v>#DIV/0!</v>
      </c>
      <c r="H6" t="e">
        <f>$C$3*EXP(-$A$1*TLKworksheet!$A6)</f>
        <v>#DIV/0!</v>
      </c>
      <c r="I6">
        <v>6</v>
      </c>
      <c r="J6" t="e">
        <f>((S6-TwoLevelVANCOMYCINcalc!$M$11)^2)/TwoLevelVANCOMYCINcalc!$M$11</f>
        <v>#DIV/0!</v>
      </c>
      <c r="K6" t="e">
        <f>((T6-TwoLevelVANCOMYCINcalc!$M$12)^2)/TwoLevelVANCOMYCINcalc!$M$12</f>
        <v>#DIV/0!</v>
      </c>
      <c r="L6" t="e">
        <f>((U6-TwoLevelVANCOMYCINcalc!$M$10)^2)/TwoLevelVANCOMYCINcalc!$M$10</f>
        <v>#DIV/0!</v>
      </c>
      <c r="M6" s="5" t="str">
        <f t="shared" si="4"/>
        <v/>
      </c>
      <c r="N6" s="12">
        <f t="shared" si="0"/>
        <v>500</v>
      </c>
      <c r="O6" s="12">
        <v>750</v>
      </c>
      <c r="P6" s="12">
        <v>36</v>
      </c>
      <c r="Q6" s="12" t="str">
        <f>VLOOKUP(P6,DLsheet!$I$15:$J$20,2,FALSE)</f>
        <v>No</v>
      </c>
      <c r="R6" s="14">
        <f>VLOOKUP(O6,DLsheet!$E$13:$F$21,2,FALSE)</f>
        <v>1</v>
      </c>
      <c r="S6" t="e">
        <f t="shared" si="1"/>
        <v>#DIV/0!</v>
      </c>
      <c r="T6" t="e">
        <f t="shared" si="2"/>
        <v>#DIV/0!</v>
      </c>
      <c r="U6" t="e">
        <f t="shared" si="3"/>
        <v>#DIV/0!</v>
      </c>
    </row>
    <row r="7" spans="1:33" x14ac:dyDescent="0.25">
      <c r="A7">
        <v>2</v>
      </c>
      <c r="B7" t="e">
        <f>HLOOKUP(TwoLevelVANCOMYCINcalc!$M$24,TLKworksheet!$C$1:$H$100,I7,FALSE)</f>
        <v>#DIV/0!</v>
      </c>
      <c r="C7" t="e">
        <f>$C$3*EXP(-$A$1*TLKworksheet!$A7)</f>
        <v>#DIV/0!</v>
      </c>
      <c r="D7" t="e">
        <f>$C$3*EXP(-$A$1*TLKworksheet!$A7)</f>
        <v>#DIV/0!</v>
      </c>
      <c r="E7" t="e">
        <f>$C$3*EXP(-$A$1*TLKworksheet!$A7)</f>
        <v>#DIV/0!</v>
      </c>
      <c r="F7" t="e">
        <f>$C$3*EXP(-$A$1*TLKworksheet!$A7)</f>
        <v>#DIV/0!</v>
      </c>
      <c r="G7" t="e">
        <f>$C$3*EXP(-$A$1*TLKworksheet!$A7)</f>
        <v>#DIV/0!</v>
      </c>
      <c r="H7" t="e">
        <f>$C$3*EXP(-$A$1*TLKworksheet!$A7)</f>
        <v>#DIV/0!</v>
      </c>
      <c r="I7">
        <v>7</v>
      </c>
      <c r="J7" t="e">
        <f>((S7-TwoLevelVANCOMYCINcalc!$M$11)^2)/TwoLevelVANCOMYCINcalc!$M$11</f>
        <v>#DIV/0!</v>
      </c>
      <c r="K7" t="e">
        <f>((T7-TwoLevelVANCOMYCINcalc!$M$12)^2)/TwoLevelVANCOMYCINcalc!$M$12</f>
        <v>#DIV/0!</v>
      </c>
      <c r="L7" t="e">
        <f>((U7-TwoLevelVANCOMYCINcalc!$M$10)^2)/TwoLevelVANCOMYCINcalc!$M$10</f>
        <v>#DIV/0!</v>
      </c>
      <c r="M7" s="5" t="e">
        <f t="shared" si="4"/>
        <v>#DIV/0!</v>
      </c>
      <c r="N7" s="12">
        <f t="shared" si="0"/>
        <v>500</v>
      </c>
      <c r="O7" s="12">
        <v>1000</v>
      </c>
      <c r="P7" s="12">
        <v>48</v>
      </c>
      <c r="Q7" s="12" t="str">
        <f>VLOOKUP(P7,DLsheet!$I$15:$J$20,2,FALSE)</f>
        <v>Yes</v>
      </c>
      <c r="R7" s="14">
        <f>VLOOKUP(O7,DLsheet!$E$13:$F$21,2,FALSE)</f>
        <v>1</v>
      </c>
      <c r="S7" t="e">
        <f t="shared" si="1"/>
        <v>#DIV/0!</v>
      </c>
      <c r="T7" t="e">
        <f t="shared" si="2"/>
        <v>#DIV/0!</v>
      </c>
      <c r="U7" t="e">
        <f t="shared" si="3"/>
        <v>#DIV/0!</v>
      </c>
    </row>
    <row r="8" spans="1:33" x14ac:dyDescent="0.25">
      <c r="A8">
        <v>2.5</v>
      </c>
      <c r="B8" t="e">
        <f>HLOOKUP(TwoLevelVANCOMYCINcalc!$M$24,TLKworksheet!$C$1:$H$100,I8,FALSE)</f>
        <v>#DIV/0!</v>
      </c>
      <c r="C8" t="e">
        <f>$C$3*EXP(-$A$1*TLKworksheet!$A8)</f>
        <v>#DIV/0!</v>
      </c>
      <c r="D8" t="e">
        <f>$C$3*EXP(-$A$1*TLKworksheet!$A8)</f>
        <v>#DIV/0!</v>
      </c>
      <c r="E8" t="e">
        <f>$C$3*EXP(-$A$1*TLKworksheet!$A8)</f>
        <v>#DIV/0!</v>
      </c>
      <c r="F8" t="e">
        <f>$C$3*EXP(-$A$1*TLKworksheet!$A8)</f>
        <v>#DIV/0!</v>
      </c>
      <c r="G8" t="e">
        <f>$C$3*EXP(-$A$1*TLKworksheet!$A8)</f>
        <v>#DIV/0!</v>
      </c>
      <c r="H8" t="e">
        <f>$C$3*EXP(-$A$1*TLKworksheet!$A8)</f>
        <v>#DIV/0!</v>
      </c>
      <c r="I8">
        <v>8</v>
      </c>
      <c r="J8" t="e">
        <f>((S8-TwoLevelVANCOMYCINcalc!$M$11)^2)/TwoLevelVANCOMYCINcalc!$M$11</f>
        <v>#DIV/0!</v>
      </c>
      <c r="K8" t="e">
        <f>((T8-TwoLevelVANCOMYCINcalc!$M$12)^2)/TwoLevelVANCOMYCINcalc!$M$12</f>
        <v>#DIV/0!</v>
      </c>
      <c r="L8" t="e">
        <f>((U8-TwoLevelVANCOMYCINcalc!$M$10)^2)/TwoLevelVANCOMYCINcalc!$M$10</f>
        <v>#DIV/0!</v>
      </c>
      <c r="M8" s="5" t="e">
        <f t="shared" si="4"/>
        <v>#DIV/0!</v>
      </c>
      <c r="N8" s="12">
        <f t="shared" si="0"/>
        <v>625</v>
      </c>
      <c r="O8" s="12">
        <v>1250</v>
      </c>
      <c r="P8" s="12">
        <v>48</v>
      </c>
      <c r="Q8" s="12" t="str">
        <f>VLOOKUP(P8,DLsheet!$I$15:$J$20,2,FALSE)</f>
        <v>Yes</v>
      </c>
      <c r="R8" s="14">
        <f>VLOOKUP(O8,DLsheet!$E$13:$F$21,2,FALSE)</f>
        <v>1.5</v>
      </c>
      <c r="S8" t="e">
        <f t="shared" si="1"/>
        <v>#DIV/0!</v>
      </c>
      <c r="T8" t="e">
        <f t="shared" si="2"/>
        <v>#DIV/0!</v>
      </c>
      <c r="U8" t="e">
        <f t="shared" si="3"/>
        <v>#DIV/0!</v>
      </c>
    </row>
    <row r="9" spans="1:33" x14ac:dyDescent="0.25">
      <c r="A9">
        <v>3</v>
      </c>
      <c r="B9" t="e">
        <f>HLOOKUP(TwoLevelVANCOMYCINcalc!$M$24,TLKworksheet!$C$1:$H$100,I9,FALSE)</f>
        <v>#DIV/0!</v>
      </c>
      <c r="C9" t="e">
        <f>$C$3*EXP(-$A$1*TLKworksheet!$A9)</f>
        <v>#DIV/0!</v>
      </c>
      <c r="D9" t="e">
        <f>$C$3*EXP(-$A$1*TLKworksheet!$A9)</f>
        <v>#DIV/0!</v>
      </c>
      <c r="E9" t="e">
        <f>$C$3*EXP(-$A$1*TLKworksheet!$A9)</f>
        <v>#DIV/0!</v>
      </c>
      <c r="F9" t="e">
        <f>$C$3*EXP(-$A$1*TLKworksheet!$A9)</f>
        <v>#DIV/0!</v>
      </c>
      <c r="G9" t="e">
        <f>$C$3*EXP(-$A$1*TLKworksheet!$A9)</f>
        <v>#DIV/0!</v>
      </c>
      <c r="H9" t="e">
        <f>$C$3*EXP(-$A$1*TLKworksheet!$A9)</f>
        <v>#DIV/0!</v>
      </c>
      <c r="I9">
        <v>9</v>
      </c>
      <c r="J9" t="e">
        <f>((S9-TwoLevelVANCOMYCINcalc!$M$11)^2)/TwoLevelVANCOMYCINcalc!$M$11</f>
        <v>#DIV/0!</v>
      </c>
      <c r="K9" t="e">
        <f>((T9-TwoLevelVANCOMYCINcalc!$M$12)^2)/TwoLevelVANCOMYCINcalc!$M$12</f>
        <v>#DIV/0!</v>
      </c>
      <c r="L9" t="e">
        <f>((U9-TwoLevelVANCOMYCINcalc!$M$10)^2)/TwoLevelVANCOMYCINcalc!$M$10</f>
        <v>#DIV/0!</v>
      </c>
      <c r="M9" s="5" t="str">
        <f t="shared" si="4"/>
        <v/>
      </c>
      <c r="N9" s="12">
        <f t="shared" si="0"/>
        <v>666.66666666666663</v>
      </c>
      <c r="O9" s="12">
        <v>1000</v>
      </c>
      <c r="P9" s="12">
        <v>36</v>
      </c>
      <c r="Q9" s="12" t="str">
        <f>VLOOKUP(P9,DLsheet!$I$15:$J$20,2,FALSE)</f>
        <v>No</v>
      </c>
      <c r="R9" s="14">
        <f>VLOOKUP(O9,DLsheet!$E$13:$F$21,2,FALSE)</f>
        <v>1</v>
      </c>
      <c r="S9" t="e">
        <f t="shared" si="1"/>
        <v>#DIV/0!</v>
      </c>
      <c r="T9" t="e">
        <f t="shared" si="2"/>
        <v>#DIV/0!</v>
      </c>
      <c r="U9" t="e">
        <f t="shared" si="3"/>
        <v>#DIV/0!</v>
      </c>
    </row>
    <row r="10" spans="1:33" x14ac:dyDescent="0.25">
      <c r="A10">
        <v>3.5</v>
      </c>
      <c r="B10" t="e">
        <f>HLOOKUP(TwoLevelVANCOMYCINcalc!$M$24,TLKworksheet!$C$1:$H$100,I10,FALSE)</f>
        <v>#DIV/0!</v>
      </c>
      <c r="C10" t="e">
        <f>$C$3*EXP(-$A$1*TLKworksheet!$A10)</f>
        <v>#DIV/0!</v>
      </c>
      <c r="D10" t="e">
        <f>$C$3*EXP(-$A$1*TLKworksheet!$A10)</f>
        <v>#DIV/0!</v>
      </c>
      <c r="E10" t="e">
        <f>$C$3*EXP(-$A$1*TLKworksheet!$A10)</f>
        <v>#DIV/0!</v>
      </c>
      <c r="F10" t="e">
        <f>$C$3*EXP(-$A$1*TLKworksheet!$A10)</f>
        <v>#DIV/0!</v>
      </c>
      <c r="G10" t="e">
        <f>$C$3*EXP(-$A$1*TLKworksheet!$A10)</f>
        <v>#DIV/0!</v>
      </c>
      <c r="H10" t="e">
        <f>$C$3*EXP(-$A$1*TLKworksheet!$A10)</f>
        <v>#DIV/0!</v>
      </c>
      <c r="I10">
        <v>10</v>
      </c>
      <c r="J10" t="e">
        <f>((S10-TwoLevelVANCOMYCINcalc!$M$11)^2)/TwoLevelVANCOMYCINcalc!$M$11</f>
        <v>#DIV/0!</v>
      </c>
      <c r="K10" t="e">
        <f>((T10-TwoLevelVANCOMYCINcalc!$M$12)^2)/TwoLevelVANCOMYCINcalc!$M$12</f>
        <v>#DIV/0!</v>
      </c>
      <c r="L10" t="e">
        <f>((U10-TwoLevelVANCOMYCINcalc!$M$10)^2)/TwoLevelVANCOMYCINcalc!$M$10</f>
        <v>#DIV/0!</v>
      </c>
      <c r="M10" s="5" t="e">
        <f t="shared" si="4"/>
        <v>#DIV/0!</v>
      </c>
      <c r="N10" s="12">
        <f t="shared" si="0"/>
        <v>750</v>
      </c>
      <c r="O10" s="12">
        <v>750</v>
      </c>
      <c r="P10" s="12">
        <v>24</v>
      </c>
      <c r="Q10" s="12" t="str">
        <f>VLOOKUP(P10,DLsheet!$I$15:$J$20,2,FALSE)</f>
        <v>Yes</v>
      </c>
      <c r="R10" s="14">
        <f>VLOOKUP(O10,DLsheet!$E$13:$F$21,2,FALSE)</f>
        <v>1</v>
      </c>
      <c r="S10" t="e">
        <f t="shared" si="1"/>
        <v>#DIV/0!</v>
      </c>
      <c r="T10" t="e">
        <f t="shared" si="2"/>
        <v>#DIV/0!</v>
      </c>
      <c r="U10" t="e">
        <f t="shared" si="3"/>
        <v>#DIV/0!</v>
      </c>
    </row>
    <row r="11" spans="1:33" x14ac:dyDescent="0.25">
      <c r="A11">
        <v>4</v>
      </c>
      <c r="B11" t="e">
        <f>HLOOKUP(TwoLevelVANCOMYCINcalc!$M$24,TLKworksheet!$C$1:$H$100,I11,FALSE)</f>
        <v>#DIV/0!</v>
      </c>
      <c r="C11" t="e">
        <f>$C$3*EXP(-$A$1*TLKworksheet!$A11)</f>
        <v>#DIV/0!</v>
      </c>
      <c r="D11" t="e">
        <f>$C$3*EXP(-$A$1*TLKworksheet!$A11)</f>
        <v>#DIV/0!</v>
      </c>
      <c r="E11" t="e">
        <f>$C$3*EXP(-$A$1*TLKworksheet!$A11)</f>
        <v>#DIV/0!</v>
      </c>
      <c r="F11" t="e">
        <f>$C$3*EXP(-$A$1*TLKworksheet!$A11)</f>
        <v>#DIV/0!</v>
      </c>
      <c r="G11" t="e">
        <f>$C$3*EXP(-$A$1*TLKworksheet!$A11)</f>
        <v>#DIV/0!</v>
      </c>
      <c r="H11" t="e">
        <f>$C$3*EXP(-$A$1*TLKworksheet!$A11)</f>
        <v>#DIV/0!</v>
      </c>
      <c r="I11">
        <v>11</v>
      </c>
      <c r="J11" t="e">
        <f>((S11-TwoLevelVANCOMYCINcalc!$M$11)^2)/TwoLevelVANCOMYCINcalc!$M$11</f>
        <v>#DIV/0!</v>
      </c>
      <c r="K11" t="e">
        <f>((T11-TwoLevelVANCOMYCINcalc!$M$12)^2)/TwoLevelVANCOMYCINcalc!$M$12</f>
        <v>#DIV/0!</v>
      </c>
      <c r="L11" t="e">
        <f>((U11-TwoLevelVANCOMYCINcalc!$M$10)^2)/TwoLevelVANCOMYCINcalc!$M$10</f>
        <v>#DIV/0!</v>
      </c>
      <c r="M11" s="5" t="e">
        <f t="shared" si="4"/>
        <v>#DIV/0!</v>
      </c>
      <c r="N11" s="12">
        <f t="shared" si="0"/>
        <v>750</v>
      </c>
      <c r="O11" s="12">
        <v>1500</v>
      </c>
      <c r="P11" s="12">
        <v>48</v>
      </c>
      <c r="Q11" s="12" t="str">
        <f>VLOOKUP(P11,DLsheet!$I$15:$J$20,2,FALSE)</f>
        <v>Yes</v>
      </c>
      <c r="R11" s="14">
        <f>VLOOKUP(O11,DLsheet!$E$13:$F$21,2,FALSE)</f>
        <v>1.5</v>
      </c>
      <c r="S11" t="e">
        <f t="shared" si="1"/>
        <v>#DIV/0!</v>
      </c>
      <c r="T11" t="e">
        <f t="shared" si="2"/>
        <v>#DIV/0!</v>
      </c>
      <c r="U11" t="e">
        <f t="shared" si="3"/>
        <v>#DIV/0!</v>
      </c>
    </row>
    <row r="12" spans="1:33" x14ac:dyDescent="0.25">
      <c r="A12">
        <v>4.5</v>
      </c>
      <c r="B12" t="e">
        <f>HLOOKUP(TwoLevelVANCOMYCINcalc!$M$24,TLKworksheet!$C$1:$H$100,I12,FALSE)</f>
        <v>#DIV/0!</v>
      </c>
      <c r="C12" t="e">
        <f>$C$3*EXP(-$A$1*TLKworksheet!$A12)</f>
        <v>#DIV/0!</v>
      </c>
      <c r="D12" t="e">
        <f>$C$3*EXP(-$A$1*TLKworksheet!$A12)</f>
        <v>#DIV/0!</v>
      </c>
      <c r="E12" t="e">
        <f>$C$3*EXP(-$A$1*TLKworksheet!$A12)</f>
        <v>#DIV/0!</v>
      </c>
      <c r="F12" t="e">
        <f>$C$3*EXP(-$A$1*TLKworksheet!$A12)</f>
        <v>#DIV/0!</v>
      </c>
      <c r="G12" t="e">
        <f>$C$3*EXP(-$A$1*TLKworksheet!$A12)</f>
        <v>#DIV/0!</v>
      </c>
      <c r="H12" t="e">
        <f>$C$3*EXP(-$A$1*TLKworksheet!$A12)</f>
        <v>#DIV/0!</v>
      </c>
      <c r="I12">
        <v>12</v>
      </c>
      <c r="J12" t="e">
        <f>((S12-TwoLevelVANCOMYCINcalc!$M$11)^2)/TwoLevelVANCOMYCINcalc!$M$11</f>
        <v>#DIV/0!</v>
      </c>
      <c r="K12" t="e">
        <f>((T12-TwoLevelVANCOMYCINcalc!$M$12)^2)/TwoLevelVANCOMYCINcalc!$M$12</f>
        <v>#DIV/0!</v>
      </c>
      <c r="L12" t="e">
        <f>((U12-TwoLevelVANCOMYCINcalc!$M$10)^2)/TwoLevelVANCOMYCINcalc!$M$10</f>
        <v>#DIV/0!</v>
      </c>
      <c r="M12" s="5" t="str">
        <f t="shared" si="4"/>
        <v/>
      </c>
      <c r="N12" s="12">
        <f t="shared" si="0"/>
        <v>833.33333333333337</v>
      </c>
      <c r="O12" s="12">
        <v>1250</v>
      </c>
      <c r="P12" s="12">
        <v>36</v>
      </c>
      <c r="Q12" s="12" t="str">
        <f>VLOOKUP(P12,DLsheet!$I$15:$J$20,2,FALSE)</f>
        <v>No</v>
      </c>
      <c r="R12" s="14">
        <f>VLOOKUP(O12,DLsheet!$E$13:$F$21,2,FALSE)</f>
        <v>1.5</v>
      </c>
      <c r="S12" t="e">
        <f t="shared" si="1"/>
        <v>#DIV/0!</v>
      </c>
      <c r="T12" t="e">
        <f t="shared" si="2"/>
        <v>#DIV/0!</v>
      </c>
      <c r="U12" t="e">
        <f t="shared" si="3"/>
        <v>#DIV/0!</v>
      </c>
    </row>
    <row r="13" spans="1:33" x14ac:dyDescent="0.25">
      <c r="A13">
        <v>5</v>
      </c>
      <c r="B13" t="e">
        <f>HLOOKUP(TwoLevelVANCOMYCINcalc!$M$24,TLKworksheet!$C$1:$H$100,I13,FALSE)</f>
        <v>#DIV/0!</v>
      </c>
      <c r="C13" t="e">
        <f>$C$3*EXP(-$A$1*TLKworksheet!$A13)</f>
        <v>#DIV/0!</v>
      </c>
      <c r="D13" t="e">
        <f>$C$3*EXP(-$A$1*TLKworksheet!$A13)</f>
        <v>#DIV/0!</v>
      </c>
      <c r="E13" t="e">
        <f>$C$3*EXP(-$A$1*TLKworksheet!$A13)</f>
        <v>#DIV/0!</v>
      </c>
      <c r="F13" t="e">
        <f>$C$3*EXP(-$A$1*TLKworksheet!$A13)</f>
        <v>#DIV/0!</v>
      </c>
      <c r="G13" t="e">
        <f>$C$3*EXP(-$A$1*TLKworksheet!$A13)</f>
        <v>#DIV/0!</v>
      </c>
      <c r="H13" t="e">
        <f>$C$3*EXP(-$A$1*TLKworksheet!$A13)</f>
        <v>#DIV/0!</v>
      </c>
      <c r="I13">
        <v>13</v>
      </c>
      <c r="J13" t="e">
        <f>((S13-TwoLevelVANCOMYCINcalc!$M$11)^2)/TwoLevelVANCOMYCINcalc!$M$11</f>
        <v>#DIV/0!</v>
      </c>
      <c r="K13" t="e">
        <f>((T13-TwoLevelVANCOMYCINcalc!$M$12)^2)/TwoLevelVANCOMYCINcalc!$M$12</f>
        <v>#DIV/0!</v>
      </c>
      <c r="L13" t="e">
        <f>((U13-TwoLevelVANCOMYCINcalc!$M$10)^2)/TwoLevelVANCOMYCINcalc!$M$10</f>
        <v>#DIV/0!</v>
      </c>
      <c r="M13" s="5" t="e">
        <f t="shared" si="4"/>
        <v>#DIV/0!</v>
      </c>
      <c r="N13" s="12">
        <f t="shared" si="0"/>
        <v>875</v>
      </c>
      <c r="O13" s="12">
        <v>1750</v>
      </c>
      <c r="P13" s="12">
        <v>48</v>
      </c>
      <c r="Q13" s="12" t="str">
        <f>VLOOKUP(P13,DLsheet!$I$15:$J$20,2,FALSE)</f>
        <v>Yes</v>
      </c>
      <c r="R13" s="14">
        <f>VLOOKUP(O13,DLsheet!$E$13:$F$21,2,FALSE)</f>
        <v>2</v>
      </c>
      <c r="S13" t="e">
        <f t="shared" si="1"/>
        <v>#DIV/0!</v>
      </c>
      <c r="T13" t="e">
        <f t="shared" si="2"/>
        <v>#DIV/0!</v>
      </c>
      <c r="U13" t="e">
        <f t="shared" si="3"/>
        <v>#DIV/0!</v>
      </c>
    </row>
    <row r="14" spans="1:33" x14ac:dyDescent="0.25">
      <c r="A14">
        <v>5.5</v>
      </c>
      <c r="B14" t="e">
        <f>HLOOKUP(TwoLevelVANCOMYCINcalc!$M$24,TLKworksheet!$C$1:$H$100,I14,FALSE)</f>
        <v>#DIV/0!</v>
      </c>
      <c r="C14" t="e">
        <f>$C$3*EXP(-$A$1*TLKworksheet!$A14)</f>
        <v>#DIV/0!</v>
      </c>
      <c r="D14" t="e">
        <f>$C$3*EXP(-$A$1*TLKworksheet!$A14)</f>
        <v>#DIV/0!</v>
      </c>
      <c r="E14" t="e">
        <f>$C$3*EXP(-$A$1*TLKworksheet!$A14)</f>
        <v>#DIV/0!</v>
      </c>
      <c r="F14" t="e">
        <f>$C$3*EXP(-$A$1*TLKworksheet!$A14)</f>
        <v>#DIV/0!</v>
      </c>
      <c r="G14" t="e">
        <f>$C$3*EXP(-$A$1*TLKworksheet!$A14)</f>
        <v>#DIV/0!</v>
      </c>
      <c r="H14" t="e">
        <f>$C$3*EXP(-$A$1*TLKworksheet!$A14)</f>
        <v>#DIV/0!</v>
      </c>
      <c r="I14">
        <v>14</v>
      </c>
      <c r="J14" t="e">
        <f>((S14-TwoLevelVANCOMYCINcalc!$M$11)^2)/TwoLevelVANCOMYCINcalc!$M$11</f>
        <v>#DIV/0!</v>
      </c>
      <c r="K14" t="e">
        <f>((T14-TwoLevelVANCOMYCINcalc!$M$12)^2)/TwoLevelVANCOMYCINcalc!$M$12</f>
        <v>#DIV/0!</v>
      </c>
      <c r="L14" t="e">
        <f>((U14-TwoLevelVANCOMYCINcalc!$M$10)^2)/TwoLevelVANCOMYCINcalc!$M$10</f>
        <v>#DIV/0!</v>
      </c>
      <c r="M14" s="5" t="e">
        <f t="shared" si="4"/>
        <v>#DIV/0!</v>
      </c>
      <c r="N14" s="12">
        <f t="shared" si="0"/>
        <v>1000</v>
      </c>
      <c r="O14" s="14">
        <v>500</v>
      </c>
      <c r="P14" s="12">
        <v>12</v>
      </c>
      <c r="Q14" s="12" t="str">
        <f>VLOOKUP(P14,DLsheet!$I$15:$J$20,2,FALSE)</f>
        <v>Yes</v>
      </c>
      <c r="R14" s="14">
        <f>VLOOKUP(O14,DLsheet!$E$13:$F$21,2,FALSE)</f>
        <v>0.5</v>
      </c>
      <c r="S14" t="e">
        <f t="shared" si="1"/>
        <v>#DIV/0!</v>
      </c>
      <c r="T14" t="e">
        <f t="shared" si="2"/>
        <v>#DIV/0!</v>
      </c>
      <c r="U14" t="e">
        <f t="shared" si="3"/>
        <v>#DIV/0!</v>
      </c>
    </row>
    <row r="15" spans="1:33" x14ac:dyDescent="0.25">
      <c r="A15">
        <v>6</v>
      </c>
      <c r="B15" t="e">
        <f>HLOOKUP(TwoLevelVANCOMYCINcalc!$M$24,TLKworksheet!$C$1:$H$100,I15,FALSE)</f>
        <v>#DIV/0!</v>
      </c>
      <c r="C15" t="e">
        <f>$C$3*EXP(-$A$1*TLKworksheet!$A15)</f>
        <v>#DIV/0!</v>
      </c>
      <c r="D15" t="e">
        <f>$C$3*EXP(-$A$1*TLKworksheet!$A15)</f>
        <v>#DIV/0!</v>
      </c>
      <c r="E15" t="e">
        <f>$C$3*EXP(-$A$1*TLKworksheet!$A15)</f>
        <v>#DIV/0!</v>
      </c>
      <c r="F15" t="e">
        <f>$C$3*EXP(-$A$1*TLKworksheet!$A15)</f>
        <v>#DIV/0!</v>
      </c>
      <c r="G15" t="e">
        <f>$C$3*EXP(-$A$1*TLKworksheet!$A15)</f>
        <v>#DIV/0!</v>
      </c>
      <c r="H15" t="e">
        <f>$C$3*EXP(-$A$1*TLKworksheet!$A15)</f>
        <v>#DIV/0!</v>
      </c>
      <c r="I15">
        <v>15</v>
      </c>
      <c r="J15" t="e">
        <f>((S15-TwoLevelVANCOMYCINcalc!$M$11)^2)/TwoLevelVANCOMYCINcalc!$M$11</f>
        <v>#DIV/0!</v>
      </c>
      <c r="K15" t="e">
        <f>((T15-TwoLevelVANCOMYCINcalc!$M$12)^2)/TwoLevelVANCOMYCINcalc!$M$12</f>
        <v>#DIV/0!</v>
      </c>
      <c r="L15" t="e">
        <f>((U15-TwoLevelVANCOMYCINcalc!$M$10)^2)/TwoLevelVANCOMYCINcalc!$M$10</f>
        <v>#DIV/0!</v>
      </c>
      <c r="M15" s="5" t="e">
        <f t="shared" si="4"/>
        <v>#DIV/0!</v>
      </c>
      <c r="N15" s="12">
        <f t="shared" si="0"/>
        <v>1000</v>
      </c>
      <c r="O15" s="12">
        <v>1000</v>
      </c>
      <c r="P15" s="12">
        <v>24</v>
      </c>
      <c r="Q15" s="12" t="str">
        <f>VLOOKUP(P15,DLsheet!$I$15:$J$20,2,FALSE)</f>
        <v>Yes</v>
      </c>
      <c r="R15" s="14">
        <f>VLOOKUP(O15,DLsheet!$E$13:$F$21,2,FALSE)</f>
        <v>1</v>
      </c>
      <c r="S15" t="e">
        <f t="shared" si="1"/>
        <v>#DIV/0!</v>
      </c>
      <c r="T15" t="e">
        <f t="shared" si="2"/>
        <v>#DIV/0!</v>
      </c>
      <c r="U15" t="e">
        <f t="shared" si="3"/>
        <v>#DIV/0!</v>
      </c>
    </row>
    <row r="16" spans="1:33" x14ac:dyDescent="0.25">
      <c r="A16">
        <v>6.5</v>
      </c>
      <c r="B16" t="e">
        <f>HLOOKUP(TwoLevelVANCOMYCINcalc!$M$24,TLKworksheet!$C$1:$H$100,I16,FALSE)</f>
        <v>#DIV/0!</v>
      </c>
      <c r="C16" t="e">
        <f>$C$3*EXP(-$A$1*TLKworksheet!$A16)</f>
        <v>#DIV/0!</v>
      </c>
      <c r="D16" t="e">
        <f>$C$3*EXP(-$A$1*TLKworksheet!$A16)</f>
        <v>#DIV/0!</v>
      </c>
      <c r="E16" t="e">
        <f>$C$3*EXP(-$A$1*TLKworksheet!$A16)</f>
        <v>#DIV/0!</v>
      </c>
      <c r="F16" t="e">
        <f>$C$3*EXP(-$A$1*TLKworksheet!$A16)</f>
        <v>#DIV/0!</v>
      </c>
      <c r="G16" t="e">
        <f>$C$3*EXP(-$A$1*TLKworksheet!$A16)</f>
        <v>#DIV/0!</v>
      </c>
      <c r="H16" t="e">
        <f>$C$3*EXP(-$A$1*TLKworksheet!$A16)</f>
        <v>#DIV/0!</v>
      </c>
      <c r="I16">
        <v>16</v>
      </c>
      <c r="J16" t="e">
        <f>((S16-TwoLevelVANCOMYCINcalc!$M$11)^2)/TwoLevelVANCOMYCINcalc!$M$11</f>
        <v>#DIV/0!</v>
      </c>
      <c r="K16" t="e">
        <f>((T16-TwoLevelVANCOMYCINcalc!$M$12)^2)/TwoLevelVANCOMYCINcalc!$M$12</f>
        <v>#DIV/0!</v>
      </c>
      <c r="L16" t="e">
        <f>((U16-TwoLevelVANCOMYCINcalc!$M$10)^2)/TwoLevelVANCOMYCINcalc!$M$10</f>
        <v>#DIV/0!</v>
      </c>
      <c r="M16" s="5" t="str">
        <f t="shared" si="4"/>
        <v/>
      </c>
      <c r="N16" s="12">
        <f t="shared" si="0"/>
        <v>1000</v>
      </c>
      <c r="O16" s="12">
        <v>1500</v>
      </c>
      <c r="P16" s="12">
        <v>36</v>
      </c>
      <c r="Q16" s="12" t="str">
        <f>VLOOKUP(P16,DLsheet!$I$15:$J$20,2,FALSE)</f>
        <v>No</v>
      </c>
      <c r="R16" s="14">
        <f>VLOOKUP(O16,DLsheet!$E$13:$F$21,2,FALSE)</f>
        <v>1.5</v>
      </c>
      <c r="S16" t="e">
        <f t="shared" si="1"/>
        <v>#DIV/0!</v>
      </c>
      <c r="T16" t="e">
        <f t="shared" si="2"/>
        <v>#DIV/0!</v>
      </c>
      <c r="U16" t="e">
        <f t="shared" si="3"/>
        <v>#DIV/0!</v>
      </c>
    </row>
    <row r="17" spans="1:21" x14ac:dyDescent="0.25">
      <c r="A17">
        <v>7</v>
      </c>
      <c r="B17" t="e">
        <f>HLOOKUP(TwoLevelVANCOMYCINcalc!$M$24,TLKworksheet!$C$1:$H$100,I17,FALSE)</f>
        <v>#DIV/0!</v>
      </c>
      <c r="C17" t="e">
        <f>$C$3*EXP(-$A$1*TLKworksheet!$A17)</f>
        <v>#DIV/0!</v>
      </c>
      <c r="D17" t="e">
        <f>$C$3*EXP(-$A$1*TLKworksheet!$A17)</f>
        <v>#DIV/0!</v>
      </c>
      <c r="E17" t="e">
        <f>$C$3*EXP(-$A$1*TLKworksheet!$A17)</f>
        <v>#DIV/0!</v>
      </c>
      <c r="F17" t="e">
        <f>$C$3*EXP(-$A$1*TLKworksheet!$A17)</f>
        <v>#DIV/0!</v>
      </c>
      <c r="G17" t="e">
        <f>$C$3*EXP(-$A$1*TLKworksheet!$A17)</f>
        <v>#DIV/0!</v>
      </c>
      <c r="H17" t="e">
        <f>$C$3*EXP(-$A$1*TLKworksheet!$A17)</f>
        <v>#DIV/0!</v>
      </c>
      <c r="I17">
        <v>17</v>
      </c>
      <c r="J17" t="e">
        <f>((S17-TwoLevelVANCOMYCINcalc!$M$11)^2)/TwoLevelVANCOMYCINcalc!$M$11</f>
        <v>#DIV/0!</v>
      </c>
      <c r="K17" t="e">
        <f>((T17-TwoLevelVANCOMYCINcalc!$M$12)^2)/TwoLevelVANCOMYCINcalc!$M$12</f>
        <v>#DIV/0!</v>
      </c>
      <c r="L17" t="e">
        <f>((U17-TwoLevelVANCOMYCINcalc!$M$10)^2)/TwoLevelVANCOMYCINcalc!$M$10</f>
        <v>#DIV/0!</v>
      </c>
      <c r="M17" s="5" t="e">
        <f t="shared" si="4"/>
        <v>#DIV/0!</v>
      </c>
      <c r="N17" s="12">
        <f t="shared" si="0"/>
        <v>1000</v>
      </c>
      <c r="O17" s="12">
        <v>2000</v>
      </c>
      <c r="P17" s="12">
        <v>48</v>
      </c>
      <c r="Q17" s="12" t="str">
        <f>VLOOKUP(P17,DLsheet!$I$15:$J$20,2,FALSE)</f>
        <v>Yes</v>
      </c>
      <c r="R17" s="14">
        <f>VLOOKUP(O17,DLsheet!$E$13:$F$21,2,FALSE)</f>
        <v>2</v>
      </c>
      <c r="S17" t="e">
        <f t="shared" si="1"/>
        <v>#DIV/0!</v>
      </c>
      <c r="T17" t="e">
        <f t="shared" si="2"/>
        <v>#DIV/0!</v>
      </c>
      <c r="U17" t="e">
        <f t="shared" si="3"/>
        <v>#DIV/0!</v>
      </c>
    </row>
    <row r="18" spans="1:21" x14ac:dyDescent="0.25">
      <c r="A18">
        <v>7.5</v>
      </c>
      <c r="B18" t="e">
        <f>HLOOKUP(TwoLevelVANCOMYCINcalc!$M$24,TLKworksheet!$C$1:$H$100,I18,FALSE)</f>
        <v>#DIV/0!</v>
      </c>
      <c r="C18" t="e">
        <f>$C$3*EXP(-$A$1*TLKworksheet!$A18)</f>
        <v>#DIV/0!</v>
      </c>
      <c r="D18" t="e">
        <f>$C$3*EXP(-$A$1*TLKworksheet!$A18)</f>
        <v>#DIV/0!</v>
      </c>
      <c r="E18" t="e">
        <f>$C$3*EXP(-$A$1*TLKworksheet!$A18)</f>
        <v>#DIV/0!</v>
      </c>
      <c r="F18" t="e">
        <f>$C$3*EXP(-$A$1*TLKworksheet!$A18)</f>
        <v>#DIV/0!</v>
      </c>
      <c r="G18" t="e">
        <f>$C$3*EXP(-$A$1*TLKworksheet!$A18)</f>
        <v>#DIV/0!</v>
      </c>
      <c r="H18" t="e">
        <f>$C$3*EXP(-$A$1*TLKworksheet!$A18)</f>
        <v>#DIV/0!</v>
      </c>
      <c r="I18">
        <v>18</v>
      </c>
      <c r="J18" t="e">
        <f>((S18-TwoLevelVANCOMYCINcalc!$M$11)^2)/TwoLevelVANCOMYCINcalc!$M$11</f>
        <v>#DIV/0!</v>
      </c>
      <c r="K18" t="e">
        <f>((T18-TwoLevelVANCOMYCINcalc!$M$12)^2)/TwoLevelVANCOMYCINcalc!$M$12</f>
        <v>#DIV/0!</v>
      </c>
      <c r="L18" t="e">
        <f>((U18-TwoLevelVANCOMYCINcalc!$M$10)^2)/TwoLevelVANCOMYCINcalc!$M$10</f>
        <v>#DIV/0!</v>
      </c>
      <c r="M18" s="5" t="e">
        <f t="shared" si="4"/>
        <v>#DIV/0!</v>
      </c>
      <c r="N18" s="12">
        <f t="shared" si="0"/>
        <v>1125</v>
      </c>
      <c r="O18" s="12">
        <v>2250</v>
      </c>
      <c r="P18" s="12">
        <v>48</v>
      </c>
      <c r="Q18" s="12" t="str">
        <f>VLOOKUP(P18,DLsheet!$I$15:$J$20,2,FALSE)</f>
        <v>Yes</v>
      </c>
      <c r="R18" s="14">
        <f>VLOOKUP(O18,DLsheet!$E$13:$F$21,2,FALSE)</f>
        <v>2.5</v>
      </c>
      <c r="S18" t="e">
        <f t="shared" si="1"/>
        <v>#DIV/0!</v>
      </c>
      <c r="T18" t="e">
        <f t="shared" si="2"/>
        <v>#DIV/0!</v>
      </c>
      <c r="U18" t="e">
        <f t="shared" si="3"/>
        <v>#DIV/0!</v>
      </c>
    </row>
    <row r="19" spans="1:21" x14ac:dyDescent="0.25">
      <c r="A19">
        <v>8</v>
      </c>
      <c r="B19" t="e">
        <f>HLOOKUP(TwoLevelVANCOMYCINcalc!$M$24,TLKworksheet!$C$1:$H$100,I19,FALSE)</f>
        <v>#DIV/0!</v>
      </c>
      <c r="C19" t="e">
        <f>$C$3*EXP(-$A$1*TLKworksheet!$A19)</f>
        <v>#DIV/0!</v>
      </c>
      <c r="D19" t="e">
        <f>$C$3*EXP(-$A$1*TLKworksheet!$A19)</f>
        <v>#DIV/0!</v>
      </c>
      <c r="E19" t="e">
        <f>$C$3*EXP(-$A$1*TLKworksheet!$A19)</f>
        <v>#DIV/0!</v>
      </c>
      <c r="F19" t="e">
        <f>$C$3*EXP(-$A$1*TLKworksheet!$A19)</f>
        <v>#DIV/0!</v>
      </c>
      <c r="G19" t="e">
        <f>$C$3*EXP(-$A$1*TLKworksheet!$A19)</f>
        <v>#DIV/0!</v>
      </c>
      <c r="H19" t="e">
        <f>$C$3*EXP(-$A$1*TLKworksheet!$A19)</f>
        <v>#DIV/0!</v>
      </c>
      <c r="I19">
        <v>19</v>
      </c>
      <c r="J19" t="e">
        <f>((S19-TwoLevelVANCOMYCINcalc!$M$11)^2)/TwoLevelVANCOMYCINcalc!$M$11</f>
        <v>#DIV/0!</v>
      </c>
      <c r="K19" t="e">
        <f>((T19-TwoLevelVANCOMYCINcalc!$M$12)^2)/TwoLevelVANCOMYCINcalc!$M$12</f>
        <v>#DIV/0!</v>
      </c>
      <c r="L19" t="e">
        <f>((U19-TwoLevelVANCOMYCINcalc!$M$10)^2)/TwoLevelVANCOMYCINcalc!$M$10</f>
        <v>#DIV/0!</v>
      </c>
      <c r="M19" s="5" t="str">
        <f t="shared" si="4"/>
        <v/>
      </c>
      <c r="N19" s="12">
        <f t="shared" si="0"/>
        <v>1166.6666666666667</v>
      </c>
      <c r="O19" s="12">
        <v>1750</v>
      </c>
      <c r="P19" s="12">
        <v>36</v>
      </c>
      <c r="Q19" s="12" t="str">
        <f>VLOOKUP(P19,DLsheet!$I$15:$J$20,2,FALSE)</f>
        <v>No</v>
      </c>
      <c r="R19" s="14">
        <f>VLOOKUP(O19,DLsheet!$E$13:$F$21,2,FALSE)</f>
        <v>2</v>
      </c>
      <c r="S19" t="e">
        <f t="shared" si="1"/>
        <v>#DIV/0!</v>
      </c>
      <c r="T19" t="e">
        <f t="shared" si="2"/>
        <v>#DIV/0!</v>
      </c>
      <c r="U19" t="e">
        <f t="shared" si="3"/>
        <v>#DIV/0!</v>
      </c>
    </row>
    <row r="20" spans="1:21" x14ac:dyDescent="0.25">
      <c r="A20">
        <v>8.5</v>
      </c>
      <c r="B20" t="e">
        <f>HLOOKUP(TwoLevelVANCOMYCINcalc!$M$24,TLKworksheet!$C$1:$H$100,I20,FALSE)</f>
        <v>#DIV/0!</v>
      </c>
      <c r="C20" t="e">
        <f>C19+C3</f>
        <v>#DIV/0!</v>
      </c>
      <c r="D20" t="e">
        <f>$C$3*EXP(-$A$1*TLKworksheet!$A20)</f>
        <v>#DIV/0!</v>
      </c>
      <c r="E20" t="e">
        <f>$C$3*EXP(-$A$1*TLKworksheet!$A20)</f>
        <v>#DIV/0!</v>
      </c>
      <c r="F20" t="e">
        <f>$C$3*EXP(-$A$1*TLKworksheet!$A20)</f>
        <v>#DIV/0!</v>
      </c>
      <c r="G20" t="e">
        <f>$C$3*EXP(-$A$1*TLKworksheet!$A20)</f>
        <v>#DIV/0!</v>
      </c>
      <c r="H20" t="e">
        <f>$C$3*EXP(-$A$1*TLKworksheet!$A20)</f>
        <v>#DIV/0!</v>
      </c>
      <c r="I20">
        <v>20</v>
      </c>
      <c r="J20" t="e">
        <f>((S20-TwoLevelVANCOMYCINcalc!$M$11)^2)/TwoLevelVANCOMYCINcalc!$M$11</f>
        <v>#DIV/0!</v>
      </c>
      <c r="K20" t="e">
        <f>((T20-TwoLevelVANCOMYCINcalc!$M$12)^2)/TwoLevelVANCOMYCINcalc!$M$12</f>
        <v>#DIV/0!</v>
      </c>
      <c r="L20" t="e">
        <f>((U20-TwoLevelVANCOMYCINcalc!$M$10)^2)/TwoLevelVANCOMYCINcalc!$M$10</f>
        <v>#DIV/0!</v>
      </c>
      <c r="M20" s="5" t="e">
        <f t="shared" si="4"/>
        <v>#DIV/0!</v>
      </c>
      <c r="N20" s="12">
        <f t="shared" si="0"/>
        <v>1250</v>
      </c>
      <c r="O20" s="12">
        <v>1250</v>
      </c>
      <c r="P20" s="12">
        <v>24</v>
      </c>
      <c r="Q20" s="12" t="str">
        <f>VLOOKUP(P20,DLsheet!$I$15:$J$20,2,FALSE)</f>
        <v>Yes</v>
      </c>
      <c r="R20" s="14">
        <f>VLOOKUP(O20,DLsheet!$E$13:$F$21,2,FALSE)</f>
        <v>1.5</v>
      </c>
      <c r="S20" t="e">
        <f t="shared" si="1"/>
        <v>#DIV/0!</v>
      </c>
      <c r="T20" t="e">
        <f t="shared" si="2"/>
        <v>#DIV/0!</v>
      </c>
      <c r="U20" t="e">
        <f t="shared" si="3"/>
        <v>#DIV/0!</v>
      </c>
    </row>
    <row r="21" spans="1:21" x14ac:dyDescent="0.25">
      <c r="A21">
        <v>9</v>
      </c>
      <c r="B21" t="e">
        <f>HLOOKUP(TwoLevelVANCOMYCINcalc!$M$24,TLKworksheet!$C$1:$H$100,I21,FALSE)</f>
        <v>#DIV/0!</v>
      </c>
      <c r="C21" t="e">
        <f t="shared" ref="C21:C35" si="5">$C$20*EXP(-$A$1*(A21-8.5))</f>
        <v>#DIV/0!</v>
      </c>
      <c r="D21" t="e">
        <f>$C$3*EXP(-$A$1*TLKworksheet!$A21)</f>
        <v>#DIV/0!</v>
      </c>
      <c r="E21" t="e">
        <f>$C$3*EXP(-$A$1*TLKworksheet!$A21)</f>
        <v>#DIV/0!</v>
      </c>
      <c r="F21" t="e">
        <f>$C$3*EXP(-$A$1*TLKworksheet!$A21)</f>
        <v>#DIV/0!</v>
      </c>
      <c r="G21" t="e">
        <f>$C$3*EXP(-$A$1*TLKworksheet!$A21)</f>
        <v>#DIV/0!</v>
      </c>
      <c r="H21" t="e">
        <f>$C$3*EXP(-$A$1*TLKworksheet!$A21)</f>
        <v>#DIV/0!</v>
      </c>
      <c r="I21">
        <v>21</v>
      </c>
      <c r="J21" t="e">
        <f>((S21-TwoLevelVANCOMYCINcalc!$M$11)^2)/TwoLevelVANCOMYCINcalc!$M$11</f>
        <v>#DIV/0!</v>
      </c>
      <c r="K21" t="e">
        <f>((T21-TwoLevelVANCOMYCINcalc!$M$12)^2)/TwoLevelVANCOMYCINcalc!$M$12</f>
        <v>#DIV/0!</v>
      </c>
      <c r="L21" t="e">
        <f>((U21-TwoLevelVANCOMYCINcalc!$M$10)^2)/TwoLevelVANCOMYCINcalc!$M$10</f>
        <v>#DIV/0!</v>
      </c>
      <c r="M21" s="5" t="e">
        <f t="shared" si="4"/>
        <v>#DIV/0!</v>
      </c>
      <c r="N21" s="12">
        <f t="shared" si="0"/>
        <v>1250</v>
      </c>
      <c r="O21" s="12">
        <v>2500</v>
      </c>
      <c r="P21" s="12">
        <v>48</v>
      </c>
      <c r="Q21" s="12" t="str">
        <f>VLOOKUP(P21,DLsheet!$I$15:$J$20,2,FALSE)</f>
        <v>Yes</v>
      </c>
      <c r="R21" s="14">
        <f>VLOOKUP(O21,DLsheet!$E$13:$F$21,2,FALSE)</f>
        <v>2.5</v>
      </c>
      <c r="S21" t="e">
        <f t="shared" si="1"/>
        <v>#DIV/0!</v>
      </c>
      <c r="T21" t="e">
        <f t="shared" si="2"/>
        <v>#DIV/0!</v>
      </c>
      <c r="U21" t="e">
        <f t="shared" si="3"/>
        <v>#DIV/0!</v>
      </c>
    </row>
    <row r="22" spans="1:21" x14ac:dyDescent="0.25">
      <c r="A22">
        <v>9.5</v>
      </c>
      <c r="B22" t="e">
        <f>HLOOKUP(TwoLevelVANCOMYCINcalc!$M$24,TLKworksheet!$C$1:$H$100,I22,FALSE)</f>
        <v>#DIV/0!</v>
      </c>
      <c r="C22" t="e">
        <f t="shared" si="5"/>
        <v>#DIV/0!</v>
      </c>
      <c r="D22" t="e">
        <f>$C$3*EXP(-$A$1*TLKworksheet!$A22)</f>
        <v>#DIV/0!</v>
      </c>
      <c r="E22" t="e">
        <f>$C$3*EXP(-$A$1*TLKworksheet!$A22)</f>
        <v>#DIV/0!</v>
      </c>
      <c r="F22" t="e">
        <f>$C$3*EXP(-$A$1*TLKworksheet!$A22)</f>
        <v>#DIV/0!</v>
      </c>
      <c r="G22" t="e">
        <f>$C$3*EXP(-$A$1*TLKworksheet!$A22)</f>
        <v>#DIV/0!</v>
      </c>
      <c r="H22" t="e">
        <f>$C$3*EXP(-$A$1*TLKworksheet!$A22)</f>
        <v>#DIV/0!</v>
      </c>
      <c r="I22">
        <v>22</v>
      </c>
      <c r="J22" t="e">
        <f>((S22-TwoLevelVANCOMYCINcalc!$M$11)^2)/TwoLevelVANCOMYCINcalc!$M$11</f>
        <v>#DIV/0!</v>
      </c>
      <c r="K22" t="e">
        <f>((T22-TwoLevelVANCOMYCINcalc!$M$12)^2)/TwoLevelVANCOMYCINcalc!$M$12</f>
        <v>#DIV/0!</v>
      </c>
      <c r="L22" t="e">
        <f>((U22-TwoLevelVANCOMYCINcalc!$M$10)^2)/TwoLevelVANCOMYCINcalc!$M$10</f>
        <v>#DIV/0!</v>
      </c>
      <c r="M22" s="5" t="str">
        <f t="shared" si="4"/>
        <v/>
      </c>
      <c r="N22" s="12">
        <f t="shared" si="0"/>
        <v>1333.3333333333333</v>
      </c>
      <c r="O22" s="12">
        <v>2000</v>
      </c>
      <c r="P22" s="12">
        <v>36</v>
      </c>
      <c r="Q22" s="12" t="str">
        <f>VLOOKUP(P22,DLsheet!$I$15:$J$20,2,FALSE)</f>
        <v>No</v>
      </c>
      <c r="R22" s="14">
        <f>VLOOKUP(O22,DLsheet!$E$13:$F$21,2,FALSE)</f>
        <v>2</v>
      </c>
      <c r="S22" t="e">
        <f t="shared" si="1"/>
        <v>#DIV/0!</v>
      </c>
      <c r="T22" t="e">
        <f t="shared" si="2"/>
        <v>#DIV/0!</v>
      </c>
      <c r="U22" t="e">
        <f t="shared" si="3"/>
        <v>#DIV/0!</v>
      </c>
    </row>
    <row r="23" spans="1:21" x14ac:dyDescent="0.25">
      <c r="A23">
        <v>10</v>
      </c>
      <c r="B23" t="e">
        <f>HLOOKUP(TwoLevelVANCOMYCINcalc!$M$24,TLKworksheet!$C$1:$H$100,I23,FALSE)</f>
        <v>#DIV/0!</v>
      </c>
      <c r="C23" t="e">
        <f t="shared" si="5"/>
        <v>#DIV/0!</v>
      </c>
      <c r="D23" t="e">
        <f>$C$3*EXP(-$A$1*TLKworksheet!$A23)</f>
        <v>#DIV/0!</v>
      </c>
      <c r="E23" t="e">
        <f>$C$3*EXP(-$A$1*TLKworksheet!$A23)</f>
        <v>#DIV/0!</v>
      </c>
      <c r="F23" t="e">
        <f>$C$3*EXP(-$A$1*TLKworksheet!$A23)</f>
        <v>#DIV/0!</v>
      </c>
      <c r="G23" t="e">
        <f>$C$3*EXP(-$A$1*TLKworksheet!$A23)</f>
        <v>#DIV/0!</v>
      </c>
      <c r="H23" t="e">
        <f>$C$3*EXP(-$A$1*TLKworksheet!$A23)</f>
        <v>#DIV/0!</v>
      </c>
      <c r="I23">
        <v>23</v>
      </c>
      <c r="J23" t="e">
        <f>((S23-TwoLevelVANCOMYCINcalc!$M$11)^2)/TwoLevelVANCOMYCINcalc!$M$11</f>
        <v>#DIV/0!</v>
      </c>
      <c r="K23" t="e">
        <f>((T23-TwoLevelVANCOMYCINcalc!$M$12)^2)/TwoLevelVANCOMYCINcalc!$M$12</f>
        <v>#DIV/0!</v>
      </c>
      <c r="L23" t="e">
        <f>((U23-TwoLevelVANCOMYCINcalc!$M$10)^2)/TwoLevelVANCOMYCINcalc!$M$10</f>
        <v>#DIV/0!</v>
      </c>
      <c r="M23" s="5" t="e">
        <f t="shared" si="4"/>
        <v>#DIV/0!</v>
      </c>
      <c r="N23" s="12">
        <f t="shared" si="0"/>
        <v>1500</v>
      </c>
      <c r="O23" s="14">
        <v>500</v>
      </c>
      <c r="P23" s="12">
        <v>8</v>
      </c>
      <c r="Q23" s="12" t="str">
        <f>VLOOKUP(P23,DLsheet!$I$15:$J$20,2,FALSE)</f>
        <v>Yes</v>
      </c>
      <c r="R23" s="14">
        <f>VLOOKUP(O23,DLsheet!$E$13:$F$21,2,FALSE)</f>
        <v>0.5</v>
      </c>
      <c r="S23" t="e">
        <f t="shared" si="1"/>
        <v>#DIV/0!</v>
      </c>
      <c r="T23" t="e">
        <f t="shared" si="2"/>
        <v>#DIV/0!</v>
      </c>
      <c r="U23" t="e">
        <f t="shared" si="3"/>
        <v>#DIV/0!</v>
      </c>
    </row>
    <row r="24" spans="1:21" x14ac:dyDescent="0.25">
      <c r="A24">
        <v>10.5</v>
      </c>
      <c r="B24" t="e">
        <f>HLOOKUP(TwoLevelVANCOMYCINcalc!$M$24,TLKworksheet!$C$1:$H$100,I24,FALSE)</f>
        <v>#DIV/0!</v>
      </c>
      <c r="C24" t="e">
        <f t="shared" si="5"/>
        <v>#DIV/0!</v>
      </c>
      <c r="D24" t="e">
        <f>$C$3*EXP(-$A$1*TLKworksheet!$A24)</f>
        <v>#DIV/0!</v>
      </c>
      <c r="E24" t="e">
        <f>$C$3*EXP(-$A$1*TLKworksheet!$A24)</f>
        <v>#DIV/0!</v>
      </c>
      <c r="F24" t="e">
        <f>$C$3*EXP(-$A$1*TLKworksheet!$A24)</f>
        <v>#DIV/0!</v>
      </c>
      <c r="G24" t="e">
        <f>$C$3*EXP(-$A$1*TLKworksheet!$A24)</f>
        <v>#DIV/0!</v>
      </c>
      <c r="H24" t="e">
        <f>$C$3*EXP(-$A$1*TLKworksheet!$A24)</f>
        <v>#DIV/0!</v>
      </c>
      <c r="I24">
        <v>24</v>
      </c>
      <c r="J24" t="e">
        <f>((S24-TwoLevelVANCOMYCINcalc!$M$11)^2)/TwoLevelVANCOMYCINcalc!$M$11</f>
        <v>#DIV/0!</v>
      </c>
      <c r="K24" t="e">
        <f>((T24-TwoLevelVANCOMYCINcalc!$M$12)^2)/TwoLevelVANCOMYCINcalc!$M$12</f>
        <v>#DIV/0!</v>
      </c>
      <c r="L24" t="e">
        <f>((U24-TwoLevelVANCOMYCINcalc!$M$10)^2)/TwoLevelVANCOMYCINcalc!$M$10</f>
        <v>#DIV/0!</v>
      </c>
      <c r="M24" s="5" t="e">
        <f t="shared" si="4"/>
        <v>#DIV/0!</v>
      </c>
      <c r="N24" s="12">
        <f t="shared" si="0"/>
        <v>1500</v>
      </c>
      <c r="O24" s="12">
        <v>750</v>
      </c>
      <c r="P24" s="12">
        <v>12</v>
      </c>
      <c r="Q24" s="12" t="str">
        <f>VLOOKUP(P24,DLsheet!$I$15:$J$20,2,FALSE)</f>
        <v>Yes</v>
      </c>
      <c r="R24" s="14">
        <f>VLOOKUP(O24,DLsheet!$E$13:$F$21,2,FALSE)</f>
        <v>1</v>
      </c>
      <c r="S24" t="e">
        <f t="shared" si="1"/>
        <v>#DIV/0!</v>
      </c>
      <c r="T24" t="e">
        <f t="shared" si="2"/>
        <v>#DIV/0!</v>
      </c>
      <c r="U24" t="e">
        <f t="shared" si="3"/>
        <v>#DIV/0!</v>
      </c>
    </row>
    <row r="25" spans="1:21" x14ac:dyDescent="0.25">
      <c r="A25">
        <v>11</v>
      </c>
      <c r="B25" t="e">
        <f>HLOOKUP(TwoLevelVANCOMYCINcalc!$M$24,TLKworksheet!$C$1:$H$100,I25,FALSE)</f>
        <v>#DIV/0!</v>
      </c>
      <c r="C25" t="e">
        <f t="shared" si="5"/>
        <v>#DIV/0!</v>
      </c>
      <c r="D25" t="e">
        <f>$C$3*EXP(-$A$1*TLKworksheet!$A25)</f>
        <v>#DIV/0!</v>
      </c>
      <c r="E25" t="e">
        <f>$C$3*EXP(-$A$1*TLKworksheet!$A25)</f>
        <v>#DIV/0!</v>
      </c>
      <c r="F25" t="e">
        <f>$C$3*EXP(-$A$1*TLKworksheet!$A25)</f>
        <v>#DIV/0!</v>
      </c>
      <c r="G25" t="e">
        <f>$C$3*EXP(-$A$1*TLKworksheet!$A25)</f>
        <v>#DIV/0!</v>
      </c>
      <c r="H25" t="e">
        <f>$C$3*EXP(-$A$1*TLKworksheet!$A25)</f>
        <v>#DIV/0!</v>
      </c>
      <c r="I25">
        <v>25</v>
      </c>
      <c r="J25" t="e">
        <f>((S25-TwoLevelVANCOMYCINcalc!$M$11)^2)/TwoLevelVANCOMYCINcalc!$M$11</f>
        <v>#DIV/0!</v>
      </c>
      <c r="K25" t="e">
        <f>((T25-TwoLevelVANCOMYCINcalc!$M$12)^2)/TwoLevelVANCOMYCINcalc!$M$12</f>
        <v>#DIV/0!</v>
      </c>
      <c r="L25" t="e">
        <f>((U25-TwoLevelVANCOMYCINcalc!$M$10)^2)/TwoLevelVANCOMYCINcalc!$M$10</f>
        <v>#DIV/0!</v>
      </c>
      <c r="M25" s="5" t="e">
        <f t="shared" si="4"/>
        <v>#DIV/0!</v>
      </c>
      <c r="N25" s="12">
        <f t="shared" si="0"/>
        <v>1500</v>
      </c>
      <c r="O25" s="12">
        <v>1500</v>
      </c>
      <c r="P25" s="12">
        <v>24</v>
      </c>
      <c r="Q25" s="12" t="str">
        <f>VLOOKUP(P25,DLsheet!$I$15:$J$20,2,FALSE)</f>
        <v>Yes</v>
      </c>
      <c r="R25" s="14">
        <f>VLOOKUP(O25,DLsheet!$E$13:$F$21,2,FALSE)</f>
        <v>1.5</v>
      </c>
      <c r="S25" t="e">
        <f t="shared" si="1"/>
        <v>#DIV/0!</v>
      </c>
      <c r="T25" t="e">
        <f t="shared" si="2"/>
        <v>#DIV/0!</v>
      </c>
      <c r="U25" t="e">
        <f t="shared" si="3"/>
        <v>#DIV/0!</v>
      </c>
    </row>
    <row r="26" spans="1:21" x14ac:dyDescent="0.25">
      <c r="A26">
        <v>11.5</v>
      </c>
      <c r="B26" t="e">
        <f>HLOOKUP(TwoLevelVANCOMYCINcalc!$M$24,TLKworksheet!$C$1:$H$100,I26,FALSE)</f>
        <v>#DIV/0!</v>
      </c>
      <c r="C26" t="e">
        <f t="shared" si="5"/>
        <v>#DIV/0!</v>
      </c>
      <c r="D26" t="e">
        <f>$C$3*EXP(-$A$1*TLKworksheet!$A26)</f>
        <v>#DIV/0!</v>
      </c>
      <c r="E26" t="e">
        <f>$C$3*EXP(-$A$1*TLKworksheet!$A26)</f>
        <v>#DIV/0!</v>
      </c>
      <c r="F26" t="e">
        <f>$C$3*EXP(-$A$1*TLKworksheet!$A26)</f>
        <v>#DIV/0!</v>
      </c>
      <c r="G26" t="e">
        <f>$C$3*EXP(-$A$1*TLKworksheet!$A26)</f>
        <v>#DIV/0!</v>
      </c>
      <c r="H26" t="e">
        <f>$C$3*EXP(-$A$1*TLKworksheet!$A26)</f>
        <v>#DIV/0!</v>
      </c>
      <c r="I26">
        <v>26</v>
      </c>
      <c r="J26" t="e">
        <f>((S26-TwoLevelVANCOMYCINcalc!$M$11)^2)/TwoLevelVANCOMYCINcalc!$M$11</f>
        <v>#DIV/0!</v>
      </c>
      <c r="K26" t="e">
        <f>((T26-TwoLevelVANCOMYCINcalc!$M$12)^2)/TwoLevelVANCOMYCINcalc!$M$12</f>
        <v>#DIV/0!</v>
      </c>
      <c r="L26" t="e">
        <f>((U26-TwoLevelVANCOMYCINcalc!$M$10)^2)/TwoLevelVANCOMYCINcalc!$M$10</f>
        <v>#DIV/0!</v>
      </c>
      <c r="M26" s="5" t="str">
        <f t="shared" si="4"/>
        <v/>
      </c>
      <c r="N26" s="12">
        <f t="shared" si="0"/>
        <v>1500</v>
      </c>
      <c r="O26" s="12">
        <v>2250</v>
      </c>
      <c r="P26" s="12">
        <v>36</v>
      </c>
      <c r="Q26" s="12" t="str">
        <f>VLOOKUP(P26,DLsheet!$I$15:$J$20,2,FALSE)</f>
        <v>No</v>
      </c>
      <c r="R26" s="14">
        <f>VLOOKUP(O26,DLsheet!$E$13:$F$21,2,FALSE)</f>
        <v>2.5</v>
      </c>
      <c r="S26" t="e">
        <f t="shared" si="1"/>
        <v>#DIV/0!</v>
      </c>
      <c r="T26" t="e">
        <f t="shared" si="2"/>
        <v>#DIV/0!</v>
      </c>
      <c r="U26" t="e">
        <f t="shared" si="3"/>
        <v>#DIV/0!</v>
      </c>
    </row>
    <row r="27" spans="1:21" x14ac:dyDescent="0.25">
      <c r="A27">
        <v>12</v>
      </c>
      <c r="B27" t="e">
        <f>HLOOKUP(TwoLevelVANCOMYCINcalc!$M$24,TLKworksheet!$C$1:$H$100,I27,FALSE)</f>
        <v>#DIV/0!</v>
      </c>
      <c r="C27" t="e">
        <f t="shared" si="5"/>
        <v>#DIV/0!</v>
      </c>
      <c r="D27" t="e">
        <f>$C$3*EXP(-$A$1*TLKworksheet!$A27)</f>
        <v>#DIV/0!</v>
      </c>
      <c r="E27" t="e">
        <f>$C$3*EXP(-$A$1*TLKworksheet!$A27)</f>
        <v>#DIV/0!</v>
      </c>
      <c r="F27" t="e">
        <f>$C$3*EXP(-$A$1*TLKworksheet!$A27)</f>
        <v>#DIV/0!</v>
      </c>
      <c r="G27" t="e">
        <f>$C$3*EXP(-$A$1*TLKworksheet!$A27)</f>
        <v>#DIV/0!</v>
      </c>
      <c r="H27" t="e">
        <f>$C$3*EXP(-$A$1*TLKworksheet!$A27)</f>
        <v>#DIV/0!</v>
      </c>
      <c r="I27">
        <v>27</v>
      </c>
      <c r="J27" t="e">
        <f>((S27-TwoLevelVANCOMYCINcalc!$M$11)^2)/TwoLevelVANCOMYCINcalc!$M$11</f>
        <v>#DIV/0!</v>
      </c>
      <c r="K27" t="e">
        <f>((T27-TwoLevelVANCOMYCINcalc!$M$12)^2)/TwoLevelVANCOMYCINcalc!$M$12</f>
        <v>#DIV/0!</v>
      </c>
      <c r="L27" t="e">
        <f>((U27-TwoLevelVANCOMYCINcalc!$M$10)^2)/TwoLevelVANCOMYCINcalc!$M$10</f>
        <v>#DIV/0!</v>
      </c>
      <c r="M27" s="5" t="str">
        <f t="shared" si="4"/>
        <v/>
      </c>
      <c r="N27" s="12">
        <f t="shared" si="0"/>
        <v>1666.6666666666667</v>
      </c>
      <c r="O27" s="12">
        <v>2500</v>
      </c>
      <c r="P27" s="12">
        <v>36</v>
      </c>
      <c r="Q27" s="12" t="str">
        <f>VLOOKUP(P27,DLsheet!$I$15:$J$20,2,FALSE)</f>
        <v>No</v>
      </c>
      <c r="R27" s="14">
        <f>VLOOKUP(O27,DLsheet!$E$13:$F$21,2,FALSE)</f>
        <v>2.5</v>
      </c>
      <c r="S27" t="e">
        <f t="shared" si="1"/>
        <v>#DIV/0!</v>
      </c>
      <c r="T27" t="e">
        <f t="shared" si="2"/>
        <v>#DIV/0!</v>
      </c>
      <c r="U27" t="e">
        <f t="shared" si="3"/>
        <v>#DIV/0!</v>
      </c>
    </row>
    <row r="28" spans="1:21" x14ac:dyDescent="0.25">
      <c r="A28">
        <v>12.5</v>
      </c>
      <c r="B28" t="e">
        <f>HLOOKUP(TwoLevelVANCOMYCINcalc!$M$24,TLKworksheet!$C$1:$H$100,I28,FALSE)</f>
        <v>#DIV/0!</v>
      </c>
      <c r="C28" t="e">
        <f t="shared" si="5"/>
        <v>#DIV/0!</v>
      </c>
      <c r="D28" t="e">
        <f>D27+D3</f>
        <v>#DIV/0!</v>
      </c>
      <c r="E28" t="e">
        <f>$C$3*EXP(-$A$1*TLKworksheet!$A28)</f>
        <v>#DIV/0!</v>
      </c>
      <c r="F28" t="e">
        <f>$C$3*EXP(-$A$1*TLKworksheet!$A28)</f>
        <v>#DIV/0!</v>
      </c>
      <c r="G28" t="e">
        <f>$C$3*EXP(-$A$1*TLKworksheet!$A28)</f>
        <v>#DIV/0!</v>
      </c>
      <c r="H28" t="e">
        <f>$C$3*EXP(-$A$1*TLKworksheet!$A28)</f>
        <v>#DIV/0!</v>
      </c>
      <c r="I28">
        <v>28</v>
      </c>
      <c r="J28" t="e">
        <f>((S28-TwoLevelVANCOMYCINcalc!$M$11)^2)/TwoLevelVANCOMYCINcalc!$M$11</f>
        <v>#DIV/0!</v>
      </c>
      <c r="K28" t="e">
        <f>((T28-TwoLevelVANCOMYCINcalc!$M$12)^2)/TwoLevelVANCOMYCINcalc!$M$12</f>
        <v>#DIV/0!</v>
      </c>
      <c r="L28" t="e">
        <f>((U28-TwoLevelVANCOMYCINcalc!$M$10)^2)/TwoLevelVANCOMYCINcalc!$M$10</f>
        <v>#DIV/0!</v>
      </c>
      <c r="M28" s="5" t="e">
        <f t="shared" si="4"/>
        <v>#DIV/0!</v>
      </c>
      <c r="N28" s="12">
        <f t="shared" si="0"/>
        <v>1750</v>
      </c>
      <c r="O28" s="12">
        <v>1750</v>
      </c>
      <c r="P28" s="12">
        <v>24</v>
      </c>
      <c r="Q28" s="12" t="str">
        <f>VLOOKUP(P28,DLsheet!$I$15:$J$20,2,FALSE)</f>
        <v>Yes</v>
      </c>
      <c r="R28" s="14">
        <f>VLOOKUP(O28,DLsheet!$E$13:$F$21,2,FALSE)</f>
        <v>2</v>
      </c>
      <c r="S28" t="e">
        <f t="shared" si="1"/>
        <v>#DIV/0!</v>
      </c>
      <c r="T28" t="e">
        <f t="shared" si="2"/>
        <v>#DIV/0!</v>
      </c>
      <c r="U28" t="e">
        <f t="shared" si="3"/>
        <v>#DIV/0!</v>
      </c>
    </row>
    <row r="29" spans="1:21" x14ac:dyDescent="0.25">
      <c r="A29">
        <v>13</v>
      </c>
      <c r="B29" t="e">
        <f>HLOOKUP(TwoLevelVANCOMYCINcalc!$M$24,TLKworksheet!$C$1:$H$100,I29,FALSE)</f>
        <v>#DIV/0!</v>
      </c>
      <c r="C29" t="e">
        <f t="shared" si="5"/>
        <v>#DIV/0!</v>
      </c>
      <c r="D29" t="e">
        <f t="shared" ref="D29:D51" si="6">$D$28*EXP(-$A$1*(A29-12.5))</f>
        <v>#DIV/0!</v>
      </c>
      <c r="E29" t="e">
        <f>$C$3*EXP(-$A$1*TLKworksheet!$A29)</f>
        <v>#DIV/0!</v>
      </c>
      <c r="F29" t="e">
        <f>$C$3*EXP(-$A$1*TLKworksheet!$A29)</f>
        <v>#DIV/0!</v>
      </c>
      <c r="G29" t="e">
        <f>$C$3*EXP(-$A$1*TLKworksheet!$A29)</f>
        <v>#DIV/0!</v>
      </c>
      <c r="H29" t="e">
        <f>$C$3*EXP(-$A$1*TLKworksheet!$A29)</f>
        <v>#DIV/0!</v>
      </c>
      <c r="I29">
        <v>29</v>
      </c>
      <c r="J29" t="e">
        <f>((S29-TwoLevelVANCOMYCINcalc!$M$11)^2)/TwoLevelVANCOMYCINcalc!$M$11</f>
        <v>#DIV/0!</v>
      </c>
      <c r="K29" t="e">
        <f>((T29-TwoLevelVANCOMYCINcalc!$M$12)^2)/TwoLevelVANCOMYCINcalc!$M$12</f>
        <v>#DIV/0!</v>
      </c>
      <c r="L29" t="e">
        <f>((U29-TwoLevelVANCOMYCINcalc!$M$10)^2)/TwoLevelVANCOMYCINcalc!$M$10</f>
        <v>#DIV/0!</v>
      </c>
      <c r="M29" s="5" t="e">
        <f t="shared" si="4"/>
        <v>#DIV/0!</v>
      </c>
      <c r="N29" s="12">
        <f t="shared" si="0"/>
        <v>2000</v>
      </c>
      <c r="O29" s="12">
        <v>1000</v>
      </c>
      <c r="P29" s="12">
        <v>12</v>
      </c>
      <c r="Q29" s="12" t="str">
        <f>VLOOKUP(P29,DLsheet!$I$15:$J$20,2,FALSE)</f>
        <v>Yes</v>
      </c>
      <c r="R29" s="14">
        <f>VLOOKUP(O29,DLsheet!$E$13:$F$21,2,FALSE)</f>
        <v>1</v>
      </c>
      <c r="S29" t="e">
        <f t="shared" si="1"/>
        <v>#DIV/0!</v>
      </c>
      <c r="T29" t="e">
        <f t="shared" si="2"/>
        <v>#DIV/0!</v>
      </c>
      <c r="U29" t="e">
        <f t="shared" si="3"/>
        <v>#DIV/0!</v>
      </c>
    </row>
    <row r="30" spans="1:21" x14ac:dyDescent="0.25">
      <c r="A30">
        <v>13.5</v>
      </c>
      <c r="B30" t="e">
        <f>HLOOKUP(TwoLevelVANCOMYCINcalc!$M$24,TLKworksheet!$C$1:$H$100,I30,FALSE)</f>
        <v>#DIV/0!</v>
      </c>
      <c r="C30" t="e">
        <f t="shared" si="5"/>
        <v>#DIV/0!</v>
      </c>
      <c r="D30" t="e">
        <f t="shared" si="6"/>
        <v>#DIV/0!</v>
      </c>
      <c r="E30" t="e">
        <f>$C$3*EXP(-$A$1*TLKworksheet!$A30)</f>
        <v>#DIV/0!</v>
      </c>
      <c r="F30" t="e">
        <f>$C$3*EXP(-$A$1*TLKworksheet!$A30)</f>
        <v>#DIV/0!</v>
      </c>
      <c r="G30" t="e">
        <f>$C$3*EXP(-$A$1*TLKworksheet!$A30)</f>
        <v>#DIV/0!</v>
      </c>
      <c r="H30" t="e">
        <f>$C$3*EXP(-$A$1*TLKworksheet!$A30)</f>
        <v>#DIV/0!</v>
      </c>
      <c r="I30">
        <v>30</v>
      </c>
      <c r="J30" t="e">
        <f>((S30-TwoLevelVANCOMYCINcalc!$M$11)^2)/TwoLevelVANCOMYCINcalc!$M$11</f>
        <v>#DIV/0!</v>
      </c>
      <c r="K30" t="e">
        <f>((T30-TwoLevelVANCOMYCINcalc!$M$12)^2)/TwoLevelVANCOMYCINcalc!$M$12</f>
        <v>#DIV/0!</v>
      </c>
      <c r="L30" t="e">
        <f>((U30-TwoLevelVANCOMYCINcalc!$M$10)^2)/TwoLevelVANCOMYCINcalc!$M$10</f>
        <v>#DIV/0!</v>
      </c>
      <c r="M30" s="5" t="e">
        <f t="shared" si="4"/>
        <v>#DIV/0!</v>
      </c>
      <c r="N30" s="12">
        <f t="shared" si="0"/>
        <v>2000</v>
      </c>
      <c r="O30" s="12">
        <v>2000</v>
      </c>
      <c r="P30" s="12">
        <v>24</v>
      </c>
      <c r="Q30" s="12" t="str">
        <f>VLOOKUP(P30,DLsheet!$I$15:$J$20,2,FALSE)</f>
        <v>Yes</v>
      </c>
      <c r="R30" s="14">
        <f>VLOOKUP(O30,DLsheet!$E$13:$F$21,2,FALSE)</f>
        <v>2</v>
      </c>
      <c r="S30" t="e">
        <f t="shared" si="1"/>
        <v>#DIV/0!</v>
      </c>
      <c r="T30" t="e">
        <f t="shared" si="2"/>
        <v>#DIV/0!</v>
      </c>
      <c r="U30" t="e">
        <f t="shared" si="3"/>
        <v>#DIV/0!</v>
      </c>
    </row>
    <row r="31" spans="1:21" x14ac:dyDescent="0.25">
      <c r="A31">
        <v>14</v>
      </c>
      <c r="B31" t="e">
        <f>HLOOKUP(TwoLevelVANCOMYCINcalc!$M$24,TLKworksheet!$C$1:$H$100,I31,FALSE)</f>
        <v>#DIV/0!</v>
      </c>
      <c r="C31" t="e">
        <f t="shared" si="5"/>
        <v>#DIV/0!</v>
      </c>
      <c r="D31" t="e">
        <f t="shared" si="6"/>
        <v>#DIV/0!</v>
      </c>
      <c r="E31" t="e">
        <f>$C$3*EXP(-$A$1*TLKworksheet!$A31)</f>
        <v>#DIV/0!</v>
      </c>
      <c r="F31" t="e">
        <f>$C$3*EXP(-$A$1*TLKworksheet!$A31)</f>
        <v>#DIV/0!</v>
      </c>
      <c r="G31" t="e">
        <f>$C$3*EXP(-$A$1*TLKworksheet!$A31)</f>
        <v>#DIV/0!</v>
      </c>
      <c r="H31" t="e">
        <f>$C$3*EXP(-$A$1*TLKworksheet!$A31)</f>
        <v>#DIV/0!</v>
      </c>
      <c r="I31">
        <v>31</v>
      </c>
      <c r="J31" t="e">
        <f>((S31-TwoLevelVANCOMYCINcalc!$M$11)^2)/TwoLevelVANCOMYCINcalc!$M$11</f>
        <v>#DIV/0!</v>
      </c>
      <c r="K31" t="e">
        <f>((T31-TwoLevelVANCOMYCINcalc!$M$12)^2)/TwoLevelVANCOMYCINcalc!$M$12</f>
        <v>#DIV/0!</v>
      </c>
      <c r="L31" t="e">
        <f>((U31-TwoLevelVANCOMYCINcalc!$M$10)^2)/TwoLevelVANCOMYCINcalc!$M$10</f>
        <v>#DIV/0!</v>
      </c>
      <c r="M31" s="5" t="e">
        <f t="shared" si="4"/>
        <v>#DIV/0!</v>
      </c>
      <c r="N31" s="12">
        <f t="shared" si="0"/>
        <v>2250</v>
      </c>
      <c r="O31" s="12">
        <v>750</v>
      </c>
      <c r="P31" s="12">
        <v>8</v>
      </c>
      <c r="Q31" s="12" t="str">
        <f>VLOOKUP(P31,DLsheet!$I$15:$J$20,2,FALSE)</f>
        <v>Yes</v>
      </c>
      <c r="R31" s="14">
        <f>VLOOKUP(O31,DLsheet!$E$13:$F$21,2,FALSE)</f>
        <v>1</v>
      </c>
      <c r="S31" t="e">
        <f t="shared" si="1"/>
        <v>#DIV/0!</v>
      </c>
      <c r="T31" t="e">
        <f t="shared" si="2"/>
        <v>#DIV/0!</v>
      </c>
      <c r="U31" t="e">
        <f t="shared" si="3"/>
        <v>#DIV/0!</v>
      </c>
    </row>
    <row r="32" spans="1:21" x14ac:dyDescent="0.25">
      <c r="A32">
        <v>14.5</v>
      </c>
      <c r="B32" t="e">
        <f>HLOOKUP(TwoLevelVANCOMYCINcalc!$M$24,TLKworksheet!$C$1:$H$100,I32,FALSE)</f>
        <v>#DIV/0!</v>
      </c>
      <c r="C32" t="e">
        <f t="shared" si="5"/>
        <v>#DIV/0!</v>
      </c>
      <c r="D32" t="e">
        <f t="shared" si="6"/>
        <v>#DIV/0!</v>
      </c>
      <c r="E32" t="e">
        <f>$C$3*EXP(-$A$1*TLKworksheet!$A32)</f>
        <v>#DIV/0!</v>
      </c>
      <c r="F32" t="e">
        <f>$C$3*EXP(-$A$1*TLKworksheet!$A32)</f>
        <v>#DIV/0!</v>
      </c>
      <c r="G32" t="e">
        <f>$C$3*EXP(-$A$1*TLKworksheet!$A32)</f>
        <v>#DIV/0!</v>
      </c>
      <c r="H32" t="e">
        <f>$C$3*EXP(-$A$1*TLKworksheet!$A32)</f>
        <v>#DIV/0!</v>
      </c>
      <c r="I32">
        <v>32</v>
      </c>
      <c r="J32" t="e">
        <f>((S32-TwoLevelVANCOMYCINcalc!$M$11)^2)/TwoLevelVANCOMYCINcalc!$M$11</f>
        <v>#DIV/0!</v>
      </c>
      <c r="K32" t="e">
        <f>((T32-TwoLevelVANCOMYCINcalc!$M$12)^2)/TwoLevelVANCOMYCINcalc!$M$12</f>
        <v>#DIV/0!</v>
      </c>
      <c r="L32" t="e">
        <f>((U32-TwoLevelVANCOMYCINcalc!$M$10)^2)/TwoLevelVANCOMYCINcalc!$M$10</f>
        <v>#DIV/0!</v>
      </c>
      <c r="M32" s="5" t="e">
        <f t="shared" si="4"/>
        <v>#DIV/0!</v>
      </c>
      <c r="N32" s="12">
        <f t="shared" si="0"/>
        <v>2250</v>
      </c>
      <c r="O32" s="12">
        <v>2250</v>
      </c>
      <c r="P32" s="12">
        <v>24</v>
      </c>
      <c r="Q32" s="12" t="str">
        <f>VLOOKUP(P32,DLsheet!$I$15:$J$20,2,FALSE)</f>
        <v>Yes</v>
      </c>
      <c r="R32" s="14">
        <f>VLOOKUP(O32,DLsheet!$E$13:$F$21,2,FALSE)</f>
        <v>2.5</v>
      </c>
      <c r="S32" t="e">
        <f t="shared" si="1"/>
        <v>#DIV/0!</v>
      </c>
      <c r="T32" t="e">
        <f t="shared" si="2"/>
        <v>#DIV/0!</v>
      </c>
      <c r="U32" t="e">
        <f t="shared" si="3"/>
        <v>#DIV/0!</v>
      </c>
    </row>
    <row r="33" spans="1:21" x14ac:dyDescent="0.25">
      <c r="A33">
        <v>15</v>
      </c>
      <c r="B33" t="e">
        <f>HLOOKUP(TwoLevelVANCOMYCINcalc!$M$24,TLKworksheet!$C$1:$H$100,I33,FALSE)</f>
        <v>#DIV/0!</v>
      </c>
      <c r="C33" t="e">
        <f t="shared" si="5"/>
        <v>#DIV/0!</v>
      </c>
      <c r="D33" t="e">
        <f t="shared" si="6"/>
        <v>#DIV/0!</v>
      </c>
      <c r="E33" t="e">
        <f>$C$3*EXP(-$A$1*TLKworksheet!$A33)</f>
        <v>#DIV/0!</v>
      </c>
      <c r="F33" t="e">
        <f>$C$3*EXP(-$A$1*TLKworksheet!$A33)</f>
        <v>#DIV/0!</v>
      </c>
      <c r="G33" t="e">
        <f>$C$3*EXP(-$A$1*TLKworksheet!$A33)</f>
        <v>#DIV/0!</v>
      </c>
      <c r="H33" t="e">
        <f>$C$3*EXP(-$A$1*TLKworksheet!$A33)</f>
        <v>#DIV/0!</v>
      </c>
      <c r="I33">
        <v>33</v>
      </c>
      <c r="J33" t="e">
        <f>((S33-TwoLevelVANCOMYCINcalc!$M$11)^2)/TwoLevelVANCOMYCINcalc!$M$11</f>
        <v>#DIV/0!</v>
      </c>
      <c r="K33" t="e">
        <f>((T33-TwoLevelVANCOMYCINcalc!$M$12)^2)/TwoLevelVANCOMYCINcalc!$M$12</f>
        <v>#DIV/0!</v>
      </c>
      <c r="L33" t="e">
        <f>((U33-TwoLevelVANCOMYCINcalc!$M$10)^2)/TwoLevelVANCOMYCINcalc!$M$10</f>
        <v>#DIV/0!</v>
      </c>
      <c r="M33" s="5" t="e">
        <f t="shared" si="4"/>
        <v>#DIV/0!</v>
      </c>
      <c r="N33" s="12">
        <f t="shared" si="0"/>
        <v>2500</v>
      </c>
      <c r="O33" s="12">
        <v>1250</v>
      </c>
      <c r="P33" s="12">
        <v>12</v>
      </c>
      <c r="Q33" s="12" t="str">
        <f>VLOOKUP(P33,DLsheet!$I$15:$J$20,2,FALSE)</f>
        <v>Yes</v>
      </c>
      <c r="R33" s="14">
        <f>VLOOKUP(O33,DLsheet!$E$13:$F$21,2,FALSE)</f>
        <v>1.5</v>
      </c>
      <c r="S33" t="e">
        <f t="shared" si="1"/>
        <v>#DIV/0!</v>
      </c>
      <c r="T33" t="e">
        <f t="shared" si="2"/>
        <v>#DIV/0!</v>
      </c>
      <c r="U33" t="e">
        <f t="shared" si="3"/>
        <v>#DIV/0!</v>
      </c>
    </row>
    <row r="34" spans="1:21" x14ac:dyDescent="0.25">
      <c r="A34">
        <v>15.5</v>
      </c>
      <c r="B34" t="e">
        <f>HLOOKUP(TwoLevelVANCOMYCINcalc!$M$24,TLKworksheet!$C$1:$H$100,I34,FALSE)</f>
        <v>#DIV/0!</v>
      </c>
      <c r="C34" t="e">
        <f t="shared" si="5"/>
        <v>#DIV/0!</v>
      </c>
      <c r="D34" t="e">
        <f t="shared" si="6"/>
        <v>#DIV/0!</v>
      </c>
      <c r="E34" t="e">
        <f>$C$3*EXP(-$A$1*TLKworksheet!$A34)</f>
        <v>#DIV/0!</v>
      </c>
      <c r="F34" t="e">
        <f>$C$3*EXP(-$A$1*TLKworksheet!$A34)</f>
        <v>#DIV/0!</v>
      </c>
      <c r="G34" t="e">
        <f>$C$3*EXP(-$A$1*TLKworksheet!$A34)</f>
        <v>#DIV/0!</v>
      </c>
      <c r="H34" t="e">
        <f>$C$3*EXP(-$A$1*TLKworksheet!$A34)</f>
        <v>#DIV/0!</v>
      </c>
      <c r="I34">
        <v>34</v>
      </c>
      <c r="J34" t="e">
        <f>((S34-TwoLevelVANCOMYCINcalc!$M$11)^2)/TwoLevelVANCOMYCINcalc!$M$11</f>
        <v>#DIV/0!</v>
      </c>
      <c r="K34" t="e">
        <f>((T34-TwoLevelVANCOMYCINcalc!$M$12)^2)/TwoLevelVANCOMYCINcalc!$M$12</f>
        <v>#DIV/0!</v>
      </c>
      <c r="L34" t="e">
        <f>((U34-TwoLevelVANCOMYCINcalc!$M$10)^2)/TwoLevelVANCOMYCINcalc!$M$10</f>
        <v>#DIV/0!</v>
      </c>
      <c r="M34" s="5" t="e">
        <f t="shared" si="4"/>
        <v>#DIV/0!</v>
      </c>
      <c r="N34" s="12">
        <f t="shared" si="0"/>
        <v>2500</v>
      </c>
      <c r="O34" s="12">
        <v>2500</v>
      </c>
      <c r="P34" s="12">
        <v>24</v>
      </c>
      <c r="Q34" s="12" t="str">
        <f>VLOOKUP(P34,DLsheet!$I$15:$J$20,2,FALSE)</f>
        <v>Yes</v>
      </c>
      <c r="R34" s="14">
        <f>VLOOKUP(O34,DLsheet!$E$13:$F$21,2,FALSE)</f>
        <v>2.5</v>
      </c>
      <c r="S34" t="e">
        <f t="shared" si="1"/>
        <v>#DIV/0!</v>
      </c>
      <c r="T34" t="e">
        <f t="shared" si="2"/>
        <v>#DIV/0!</v>
      </c>
      <c r="U34" t="e">
        <f t="shared" si="3"/>
        <v>#DIV/0!</v>
      </c>
    </row>
    <row r="35" spans="1:21" x14ac:dyDescent="0.25">
      <c r="A35">
        <v>16</v>
      </c>
      <c r="B35" t="e">
        <f>HLOOKUP(TwoLevelVANCOMYCINcalc!$M$24,TLKworksheet!$C$1:$H$100,I35,FALSE)</f>
        <v>#DIV/0!</v>
      </c>
      <c r="C35" t="e">
        <f t="shared" si="5"/>
        <v>#DIV/0!</v>
      </c>
      <c r="D35" t="e">
        <f t="shared" si="6"/>
        <v>#DIV/0!</v>
      </c>
      <c r="E35" t="e">
        <f>$C$3*EXP(-$A$1*TLKworksheet!$A35)</f>
        <v>#DIV/0!</v>
      </c>
      <c r="F35" t="e">
        <f>$C$3*EXP(-$A$1*TLKworksheet!$A35)</f>
        <v>#DIV/0!</v>
      </c>
      <c r="G35" t="e">
        <f>$C$3*EXP(-$A$1*TLKworksheet!$A35)</f>
        <v>#DIV/0!</v>
      </c>
      <c r="H35" t="e">
        <f>$C$3*EXP(-$A$1*TLKworksheet!$A35)</f>
        <v>#DIV/0!</v>
      </c>
      <c r="I35">
        <v>35</v>
      </c>
      <c r="J35" t="e">
        <f>((S35-TwoLevelVANCOMYCINcalc!$M$11)^2)/TwoLevelVANCOMYCINcalc!$M$11</f>
        <v>#DIV/0!</v>
      </c>
      <c r="K35" t="e">
        <f>((T35-TwoLevelVANCOMYCINcalc!$M$12)^2)/TwoLevelVANCOMYCINcalc!$M$12</f>
        <v>#DIV/0!</v>
      </c>
      <c r="L35" t="e">
        <f>((U35-TwoLevelVANCOMYCINcalc!$M$10)^2)/TwoLevelVANCOMYCINcalc!$M$10</f>
        <v>#DIV/0!</v>
      </c>
      <c r="M35" s="5" t="e">
        <f t="shared" si="4"/>
        <v>#DIV/0!</v>
      </c>
      <c r="N35" s="12">
        <f t="shared" si="0"/>
        <v>3000</v>
      </c>
      <c r="O35" s="12">
        <v>1000</v>
      </c>
      <c r="P35" s="12">
        <v>8</v>
      </c>
      <c r="Q35" s="12" t="str">
        <f>VLOOKUP(P35,DLsheet!$I$15:$J$20,2,FALSE)</f>
        <v>Yes</v>
      </c>
      <c r="R35" s="14">
        <f>VLOOKUP(O35,DLsheet!$E$13:$F$21,2,FALSE)</f>
        <v>1</v>
      </c>
      <c r="S35" t="e">
        <f t="shared" si="1"/>
        <v>#DIV/0!</v>
      </c>
      <c r="T35" t="e">
        <f t="shared" si="2"/>
        <v>#DIV/0!</v>
      </c>
      <c r="U35" t="e">
        <f t="shared" si="3"/>
        <v>#DIV/0!</v>
      </c>
    </row>
    <row r="36" spans="1:21" x14ac:dyDescent="0.25">
      <c r="A36">
        <v>16.5</v>
      </c>
      <c r="B36" t="e">
        <f>HLOOKUP(TwoLevelVANCOMYCINcalc!$M$24,TLKworksheet!$C$1:$H$100,I36,FALSE)</f>
        <v>#DIV/0!</v>
      </c>
      <c r="C36" t="e">
        <f>C35+C3</f>
        <v>#DIV/0!</v>
      </c>
      <c r="D36" t="e">
        <f t="shared" si="6"/>
        <v>#DIV/0!</v>
      </c>
      <c r="E36" t="e">
        <f>$C$3*EXP(-$A$1*TLKworksheet!$A36)</f>
        <v>#DIV/0!</v>
      </c>
      <c r="F36" t="e">
        <f>$C$3*EXP(-$A$1*TLKworksheet!$A36)</f>
        <v>#DIV/0!</v>
      </c>
      <c r="G36" t="e">
        <f>$C$3*EXP(-$A$1*TLKworksheet!$A36)</f>
        <v>#DIV/0!</v>
      </c>
      <c r="H36" t="e">
        <f>$C$3*EXP(-$A$1*TLKworksheet!$A36)</f>
        <v>#DIV/0!</v>
      </c>
      <c r="I36">
        <v>36</v>
      </c>
      <c r="J36" t="e">
        <f>((S36-TwoLevelVANCOMYCINcalc!$M$11)^2)/TwoLevelVANCOMYCINcalc!$M$11</f>
        <v>#DIV/0!</v>
      </c>
      <c r="K36" t="e">
        <f>((T36-TwoLevelVANCOMYCINcalc!$M$12)^2)/TwoLevelVANCOMYCINcalc!$M$12</f>
        <v>#DIV/0!</v>
      </c>
      <c r="L36" t="e">
        <f>((U36-TwoLevelVANCOMYCINcalc!$M$10)^2)/TwoLevelVANCOMYCINcalc!$M$10</f>
        <v>#DIV/0!</v>
      </c>
      <c r="M36" s="5" t="e">
        <f t="shared" si="4"/>
        <v>#DIV/0!</v>
      </c>
      <c r="N36" s="12">
        <f t="shared" si="0"/>
        <v>3000</v>
      </c>
      <c r="O36" s="12">
        <v>1500</v>
      </c>
      <c r="P36" s="12">
        <v>12</v>
      </c>
      <c r="Q36" s="12" t="str">
        <f>VLOOKUP(P36,DLsheet!$I$15:$J$20,2,FALSE)</f>
        <v>Yes</v>
      </c>
      <c r="R36" s="14">
        <f>VLOOKUP(O36,DLsheet!$E$13:$F$21,2,FALSE)</f>
        <v>1.5</v>
      </c>
      <c r="S36" t="e">
        <f t="shared" si="1"/>
        <v>#DIV/0!</v>
      </c>
      <c r="T36" t="e">
        <f t="shared" si="2"/>
        <v>#DIV/0!</v>
      </c>
      <c r="U36" t="e">
        <f t="shared" si="3"/>
        <v>#DIV/0!</v>
      </c>
    </row>
    <row r="37" spans="1:21" x14ac:dyDescent="0.25">
      <c r="A37">
        <v>17</v>
      </c>
      <c r="B37" t="e">
        <f>HLOOKUP(TwoLevelVANCOMYCINcalc!$M$24,TLKworksheet!$C$1:$H$100,I37,FALSE)</f>
        <v>#DIV/0!</v>
      </c>
      <c r="C37" t="e">
        <f t="shared" ref="C37:C51" si="7">$C$36*EXP(-$A$1*(A37-16.5))</f>
        <v>#DIV/0!</v>
      </c>
      <c r="D37" t="e">
        <f t="shared" si="6"/>
        <v>#DIV/0!</v>
      </c>
      <c r="E37" t="e">
        <f>$C$3*EXP(-$A$1*TLKworksheet!$A37)</f>
        <v>#DIV/0!</v>
      </c>
      <c r="F37" t="e">
        <f>$C$3*EXP(-$A$1*TLKworksheet!$A37)</f>
        <v>#DIV/0!</v>
      </c>
      <c r="G37" t="e">
        <f>$C$3*EXP(-$A$1*TLKworksheet!$A37)</f>
        <v>#DIV/0!</v>
      </c>
      <c r="H37" t="e">
        <f>$C$3*EXP(-$A$1*TLKworksheet!$A37)</f>
        <v>#DIV/0!</v>
      </c>
      <c r="I37">
        <v>37</v>
      </c>
      <c r="J37" t="e">
        <f>((S37-TwoLevelVANCOMYCINcalc!$M$11)^2)/TwoLevelVANCOMYCINcalc!$M$11</f>
        <v>#DIV/0!</v>
      </c>
      <c r="K37" t="e">
        <f>((T37-TwoLevelVANCOMYCINcalc!$M$12)^2)/TwoLevelVANCOMYCINcalc!$M$12</f>
        <v>#DIV/0!</v>
      </c>
      <c r="L37" t="e">
        <f>((U37-TwoLevelVANCOMYCINcalc!$M$10)^2)/TwoLevelVANCOMYCINcalc!$M$10</f>
        <v>#DIV/0!</v>
      </c>
      <c r="M37" s="5" t="e">
        <f t="shared" si="4"/>
        <v>#DIV/0!</v>
      </c>
      <c r="N37" s="12">
        <f t="shared" si="0"/>
        <v>3500</v>
      </c>
      <c r="O37" s="12">
        <v>1750</v>
      </c>
      <c r="P37" s="12">
        <v>12</v>
      </c>
      <c r="Q37" s="12" t="str">
        <f>VLOOKUP(P37,DLsheet!$I$15:$J$20,2,FALSE)</f>
        <v>Yes</v>
      </c>
      <c r="R37" s="14">
        <f>VLOOKUP(O37,DLsheet!$E$13:$F$21,2,FALSE)</f>
        <v>2</v>
      </c>
      <c r="S37" t="e">
        <f t="shared" si="1"/>
        <v>#DIV/0!</v>
      </c>
      <c r="T37" t="e">
        <f t="shared" si="2"/>
        <v>#DIV/0!</v>
      </c>
      <c r="U37" t="e">
        <f t="shared" si="3"/>
        <v>#DIV/0!</v>
      </c>
    </row>
    <row r="38" spans="1:21" x14ac:dyDescent="0.25">
      <c r="A38">
        <v>17.5</v>
      </c>
      <c r="B38" t="e">
        <f>HLOOKUP(TwoLevelVANCOMYCINcalc!$M$24,TLKworksheet!$C$1:$H$100,I38,FALSE)</f>
        <v>#DIV/0!</v>
      </c>
      <c r="C38" t="e">
        <f t="shared" si="7"/>
        <v>#DIV/0!</v>
      </c>
      <c r="D38" t="e">
        <f t="shared" si="6"/>
        <v>#DIV/0!</v>
      </c>
      <c r="E38" t="e">
        <f>$C$3*EXP(-$A$1*TLKworksheet!$A38)</f>
        <v>#DIV/0!</v>
      </c>
      <c r="F38" t="e">
        <f>$C$3*EXP(-$A$1*TLKworksheet!$A38)</f>
        <v>#DIV/0!</v>
      </c>
      <c r="G38" t="e">
        <f>$C$3*EXP(-$A$1*TLKworksheet!$A38)</f>
        <v>#DIV/0!</v>
      </c>
      <c r="H38" t="e">
        <f>$C$3*EXP(-$A$1*TLKworksheet!$A38)</f>
        <v>#DIV/0!</v>
      </c>
      <c r="I38">
        <v>38</v>
      </c>
      <c r="J38" t="e">
        <f>((S38-TwoLevelVANCOMYCINcalc!$M$11)^2)/TwoLevelVANCOMYCINcalc!$M$11</f>
        <v>#DIV/0!</v>
      </c>
      <c r="K38" t="e">
        <f>((T38-TwoLevelVANCOMYCINcalc!$M$12)^2)/TwoLevelVANCOMYCINcalc!$M$12</f>
        <v>#DIV/0!</v>
      </c>
      <c r="L38" t="e">
        <f>((U38-TwoLevelVANCOMYCINcalc!$M$10)^2)/TwoLevelVANCOMYCINcalc!$M$10</f>
        <v>#DIV/0!</v>
      </c>
      <c r="M38" s="5" t="e">
        <f t="shared" si="4"/>
        <v>#DIV/0!</v>
      </c>
      <c r="N38" s="12">
        <f t="shared" si="0"/>
        <v>3750</v>
      </c>
      <c r="O38" s="12">
        <v>1250</v>
      </c>
      <c r="P38" s="12">
        <v>8</v>
      </c>
      <c r="Q38" s="12" t="str">
        <f>VLOOKUP(P38,DLsheet!$I$15:$J$20,2,FALSE)</f>
        <v>Yes</v>
      </c>
      <c r="R38" s="14">
        <f>VLOOKUP(O38,DLsheet!$E$13:$F$21,2,FALSE)</f>
        <v>1.5</v>
      </c>
      <c r="S38" t="e">
        <f t="shared" si="1"/>
        <v>#DIV/0!</v>
      </c>
      <c r="T38" t="e">
        <f t="shared" si="2"/>
        <v>#DIV/0!</v>
      </c>
      <c r="U38" t="e">
        <f t="shared" si="3"/>
        <v>#DIV/0!</v>
      </c>
    </row>
    <row r="39" spans="1:21" x14ac:dyDescent="0.25">
      <c r="A39">
        <v>18</v>
      </c>
      <c r="B39" t="e">
        <f>HLOOKUP(TwoLevelVANCOMYCINcalc!$M$24,TLKworksheet!$C$1:$H$100,I39,FALSE)</f>
        <v>#DIV/0!</v>
      </c>
      <c r="C39" t="e">
        <f t="shared" si="7"/>
        <v>#DIV/0!</v>
      </c>
      <c r="D39" t="e">
        <f t="shared" si="6"/>
        <v>#DIV/0!</v>
      </c>
      <c r="E39" t="e">
        <f>$C$3*EXP(-$A$1*TLKworksheet!$A39)</f>
        <v>#DIV/0!</v>
      </c>
      <c r="F39" t="e">
        <f>$C$3*EXP(-$A$1*TLKworksheet!$A39)</f>
        <v>#DIV/0!</v>
      </c>
      <c r="G39" t="e">
        <f>$C$3*EXP(-$A$1*TLKworksheet!$A39)</f>
        <v>#DIV/0!</v>
      </c>
      <c r="H39" t="e">
        <f>$C$3*EXP(-$A$1*TLKworksheet!$A39)</f>
        <v>#DIV/0!</v>
      </c>
      <c r="I39">
        <v>39</v>
      </c>
      <c r="J39" t="e">
        <f>((S39-TwoLevelVANCOMYCINcalc!$M$11)^2)/TwoLevelVANCOMYCINcalc!$M$11</f>
        <v>#DIV/0!</v>
      </c>
      <c r="K39" t="e">
        <f>((T39-TwoLevelVANCOMYCINcalc!$M$12)^2)/TwoLevelVANCOMYCINcalc!$M$12</f>
        <v>#DIV/0!</v>
      </c>
      <c r="L39" t="e">
        <f>((U39-TwoLevelVANCOMYCINcalc!$M$10)^2)/TwoLevelVANCOMYCINcalc!$M$10</f>
        <v>#DIV/0!</v>
      </c>
      <c r="M39" s="5" t="e">
        <f t="shared" si="4"/>
        <v>#DIV/0!</v>
      </c>
      <c r="N39" s="12">
        <f t="shared" si="0"/>
        <v>4000</v>
      </c>
      <c r="O39" s="12">
        <v>2000</v>
      </c>
      <c r="P39" s="12">
        <v>12</v>
      </c>
      <c r="Q39" s="12" t="str">
        <f>VLOOKUP(P39,DLsheet!$I$15:$J$20,2,FALSE)</f>
        <v>Yes</v>
      </c>
      <c r="R39" s="14">
        <f>VLOOKUP(O39,DLsheet!$E$13:$F$21,2,FALSE)</f>
        <v>2</v>
      </c>
      <c r="S39" t="e">
        <f t="shared" si="1"/>
        <v>#DIV/0!</v>
      </c>
      <c r="T39" t="e">
        <f t="shared" si="2"/>
        <v>#DIV/0!</v>
      </c>
      <c r="U39" t="e">
        <f t="shared" si="3"/>
        <v>#DIV/0!</v>
      </c>
    </row>
    <row r="40" spans="1:21" x14ac:dyDescent="0.25">
      <c r="A40">
        <v>18.5</v>
      </c>
      <c r="B40" t="e">
        <f>HLOOKUP(TwoLevelVANCOMYCINcalc!$M$24,TLKworksheet!$C$1:$H$100,I40,FALSE)</f>
        <v>#DIV/0!</v>
      </c>
      <c r="C40" t="e">
        <f t="shared" si="7"/>
        <v>#DIV/0!</v>
      </c>
      <c r="D40" t="e">
        <f t="shared" si="6"/>
        <v>#DIV/0!</v>
      </c>
      <c r="E40" t="e">
        <f>E39+E3</f>
        <v>#DIV/0!</v>
      </c>
      <c r="F40" t="e">
        <f>$C$3*EXP(-$A$1*TLKworksheet!$A40)</f>
        <v>#DIV/0!</v>
      </c>
      <c r="G40" t="e">
        <f>$C$3*EXP(-$A$1*TLKworksheet!$A40)</f>
        <v>#DIV/0!</v>
      </c>
      <c r="H40" t="e">
        <f>$C$3*EXP(-$A$1*TLKworksheet!$A40)</f>
        <v>#DIV/0!</v>
      </c>
      <c r="I40">
        <v>40</v>
      </c>
      <c r="J40" t="e">
        <f>((S40-TwoLevelVANCOMYCINcalc!$M$11)^2)/TwoLevelVANCOMYCINcalc!$M$11</f>
        <v>#DIV/0!</v>
      </c>
      <c r="K40" t="e">
        <f>((T40-TwoLevelVANCOMYCINcalc!$M$12)^2)/TwoLevelVANCOMYCINcalc!$M$12</f>
        <v>#DIV/0!</v>
      </c>
      <c r="L40" t="e">
        <f>((U40-TwoLevelVANCOMYCINcalc!$M$10)^2)/TwoLevelVANCOMYCINcalc!$M$10</f>
        <v>#DIV/0!</v>
      </c>
      <c r="M40" s="5" t="e">
        <f t="shared" si="4"/>
        <v>#DIV/0!</v>
      </c>
      <c r="N40" s="12">
        <f t="shared" si="0"/>
        <v>4500</v>
      </c>
      <c r="O40" s="12">
        <v>1500</v>
      </c>
      <c r="P40" s="12">
        <v>8</v>
      </c>
      <c r="Q40" s="12" t="str">
        <f>VLOOKUP(P40,DLsheet!$I$15:$J$20,2,FALSE)</f>
        <v>Yes</v>
      </c>
      <c r="R40" s="14">
        <f>VLOOKUP(O40,DLsheet!$E$13:$F$21,2,FALSE)</f>
        <v>1.5</v>
      </c>
      <c r="S40" t="e">
        <f t="shared" si="1"/>
        <v>#DIV/0!</v>
      </c>
      <c r="T40" t="e">
        <f t="shared" si="2"/>
        <v>#DIV/0!</v>
      </c>
      <c r="U40" t="e">
        <f t="shared" si="3"/>
        <v>#DIV/0!</v>
      </c>
    </row>
    <row r="41" spans="1:21" x14ac:dyDescent="0.25">
      <c r="A41">
        <v>19</v>
      </c>
      <c r="B41" t="e">
        <f>HLOOKUP(TwoLevelVANCOMYCINcalc!$M$24,TLKworksheet!$C$1:$H$100,I41,FALSE)</f>
        <v>#DIV/0!</v>
      </c>
      <c r="C41" t="e">
        <f t="shared" si="7"/>
        <v>#DIV/0!</v>
      </c>
      <c r="D41" t="e">
        <f t="shared" si="6"/>
        <v>#DIV/0!</v>
      </c>
      <c r="E41" t="e">
        <f t="shared" ref="E41:E67" si="8">$E$40*EXP(-$A$1*(A41-18.5))</f>
        <v>#DIV/0!</v>
      </c>
      <c r="F41" t="e">
        <f>$C$3*EXP(-$A$1*TLKworksheet!$A41)</f>
        <v>#DIV/0!</v>
      </c>
      <c r="G41" t="e">
        <f>$C$3*EXP(-$A$1*TLKworksheet!$A41)</f>
        <v>#DIV/0!</v>
      </c>
      <c r="H41" t="e">
        <f>$C$3*EXP(-$A$1*TLKworksheet!$A41)</f>
        <v>#DIV/0!</v>
      </c>
      <c r="I41">
        <v>41</v>
      </c>
      <c r="J41" t="e">
        <f>((S41-TwoLevelVANCOMYCINcalc!$M$11)^2)/TwoLevelVANCOMYCINcalc!$M$11</f>
        <v>#DIV/0!</v>
      </c>
      <c r="K41" t="e">
        <f>((T41-TwoLevelVANCOMYCINcalc!$M$12)^2)/TwoLevelVANCOMYCINcalc!$M$12</f>
        <v>#DIV/0!</v>
      </c>
      <c r="L41" t="e">
        <f>((U41-TwoLevelVANCOMYCINcalc!$M$10)^2)/TwoLevelVANCOMYCINcalc!$M$10</f>
        <v>#DIV/0!</v>
      </c>
      <c r="M41" s="5" t="e">
        <f t="shared" si="4"/>
        <v>#DIV/0!</v>
      </c>
      <c r="N41" s="12">
        <f t="shared" si="0"/>
        <v>4500</v>
      </c>
      <c r="O41" s="12">
        <v>2250</v>
      </c>
      <c r="P41" s="12">
        <v>12</v>
      </c>
      <c r="Q41" s="12" t="str">
        <f>VLOOKUP(P41,DLsheet!$I$15:$J$20,2,FALSE)</f>
        <v>Yes</v>
      </c>
      <c r="R41" s="14">
        <f>VLOOKUP(O41,DLsheet!$E$13:$F$21,2,FALSE)</f>
        <v>2.5</v>
      </c>
      <c r="S41" t="e">
        <f t="shared" si="1"/>
        <v>#DIV/0!</v>
      </c>
      <c r="T41" t="e">
        <f t="shared" si="2"/>
        <v>#DIV/0!</v>
      </c>
      <c r="U41" t="e">
        <f t="shared" si="3"/>
        <v>#DIV/0!</v>
      </c>
    </row>
    <row r="42" spans="1:21" x14ac:dyDescent="0.25">
      <c r="A42">
        <v>19.5</v>
      </c>
      <c r="B42" t="e">
        <f>HLOOKUP(TwoLevelVANCOMYCINcalc!$M$24,TLKworksheet!$C$1:$H$100,I42,FALSE)</f>
        <v>#DIV/0!</v>
      </c>
      <c r="C42" t="e">
        <f t="shared" si="7"/>
        <v>#DIV/0!</v>
      </c>
      <c r="D42" t="e">
        <f t="shared" si="6"/>
        <v>#DIV/0!</v>
      </c>
      <c r="E42" t="e">
        <f t="shared" si="8"/>
        <v>#DIV/0!</v>
      </c>
      <c r="F42" t="e">
        <f>$C$3*EXP(-$A$1*TLKworksheet!$A42)</f>
        <v>#DIV/0!</v>
      </c>
      <c r="G42" t="e">
        <f>$C$3*EXP(-$A$1*TLKworksheet!$A42)</f>
        <v>#DIV/0!</v>
      </c>
      <c r="H42" t="e">
        <f>$C$3*EXP(-$A$1*TLKworksheet!$A42)</f>
        <v>#DIV/0!</v>
      </c>
      <c r="I42">
        <v>42</v>
      </c>
      <c r="J42" t="e">
        <f>((S42-TwoLevelVANCOMYCINcalc!$M$11)^2)/TwoLevelVANCOMYCINcalc!$M$11</f>
        <v>#DIV/0!</v>
      </c>
      <c r="K42" t="e">
        <f>((T42-TwoLevelVANCOMYCINcalc!$M$12)^2)/TwoLevelVANCOMYCINcalc!$M$12</f>
        <v>#DIV/0!</v>
      </c>
      <c r="L42" t="e">
        <f>((U42-TwoLevelVANCOMYCINcalc!$M$10)^2)/TwoLevelVANCOMYCINcalc!$M$10</f>
        <v>#DIV/0!</v>
      </c>
      <c r="M42" s="5" t="e">
        <f t="shared" si="4"/>
        <v>#DIV/0!</v>
      </c>
      <c r="N42" s="12">
        <f t="shared" si="0"/>
        <v>5000</v>
      </c>
      <c r="O42" s="12">
        <v>2500</v>
      </c>
      <c r="P42" s="12">
        <v>12</v>
      </c>
      <c r="Q42" s="12" t="str">
        <f>VLOOKUP(P42,DLsheet!$I$15:$J$20,2,FALSE)</f>
        <v>Yes</v>
      </c>
      <c r="R42" s="14">
        <f>VLOOKUP(O42,DLsheet!$E$13:$F$21,2,FALSE)</f>
        <v>2.5</v>
      </c>
      <c r="S42" t="e">
        <f t="shared" si="1"/>
        <v>#DIV/0!</v>
      </c>
      <c r="T42" t="e">
        <f t="shared" si="2"/>
        <v>#DIV/0!</v>
      </c>
      <c r="U42" t="e">
        <f t="shared" si="3"/>
        <v>#DIV/0!</v>
      </c>
    </row>
    <row r="43" spans="1:21" x14ac:dyDescent="0.25">
      <c r="A43">
        <v>20</v>
      </c>
      <c r="B43" t="e">
        <f>HLOOKUP(TwoLevelVANCOMYCINcalc!$M$24,TLKworksheet!$C$1:$H$100,I43,FALSE)</f>
        <v>#DIV/0!</v>
      </c>
      <c r="C43" t="e">
        <f t="shared" si="7"/>
        <v>#DIV/0!</v>
      </c>
      <c r="D43" t="e">
        <f t="shared" si="6"/>
        <v>#DIV/0!</v>
      </c>
      <c r="E43" t="e">
        <f t="shared" si="8"/>
        <v>#DIV/0!</v>
      </c>
      <c r="F43" t="e">
        <f>$C$3*EXP(-$A$1*TLKworksheet!$A43)</f>
        <v>#DIV/0!</v>
      </c>
      <c r="G43" t="e">
        <f>$C$3*EXP(-$A$1*TLKworksheet!$A43)</f>
        <v>#DIV/0!</v>
      </c>
      <c r="H43" t="e">
        <f>$C$3*EXP(-$A$1*TLKworksheet!$A43)</f>
        <v>#DIV/0!</v>
      </c>
      <c r="I43">
        <v>43</v>
      </c>
      <c r="J43" t="e">
        <f>((S43-TwoLevelVANCOMYCINcalc!$M$11)^2)/TwoLevelVANCOMYCINcalc!$M$11</f>
        <v>#DIV/0!</v>
      </c>
      <c r="K43" t="e">
        <f>((T43-TwoLevelVANCOMYCINcalc!$M$12)^2)/TwoLevelVANCOMYCINcalc!$M$12</f>
        <v>#DIV/0!</v>
      </c>
      <c r="L43" t="e">
        <f>((U43-TwoLevelVANCOMYCINcalc!$M$10)^2)/TwoLevelVANCOMYCINcalc!$M$10</f>
        <v>#DIV/0!</v>
      </c>
      <c r="M43" s="5" t="e">
        <f t="shared" si="4"/>
        <v>#DIV/0!</v>
      </c>
      <c r="N43" s="12">
        <f t="shared" si="0"/>
        <v>5250</v>
      </c>
      <c r="O43" s="12">
        <v>1750</v>
      </c>
      <c r="P43" s="12">
        <v>8</v>
      </c>
      <c r="Q43" s="12" t="str">
        <f>VLOOKUP(P43,DLsheet!$I$15:$J$20,2,FALSE)</f>
        <v>Yes</v>
      </c>
      <c r="R43" s="14">
        <f>VLOOKUP(O43,DLsheet!$E$13:$F$21,2,FALSE)</f>
        <v>2</v>
      </c>
      <c r="S43" t="e">
        <f t="shared" si="1"/>
        <v>#DIV/0!</v>
      </c>
      <c r="T43" t="e">
        <f t="shared" si="2"/>
        <v>#DIV/0!</v>
      </c>
      <c r="U43" t="e">
        <f t="shared" si="3"/>
        <v>#DIV/0!</v>
      </c>
    </row>
    <row r="44" spans="1:21" x14ac:dyDescent="0.25">
      <c r="A44">
        <v>20.5</v>
      </c>
      <c r="B44" t="e">
        <f>HLOOKUP(TwoLevelVANCOMYCINcalc!$M$24,TLKworksheet!$C$1:$H$100,I44,FALSE)</f>
        <v>#DIV/0!</v>
      </c>
      <c r="C44" t="e">
        <f t="shared" si="7"/>
        <v>#DIV/0!</v>
      </c>
      <c r="D44" t="e">
        <f t="shared" si="6"/>
        <v>#DIV/0!</v>
      </c>
      <c r="E44" t="e">
        <f t="shared" si="8"/>
        <v>#DIV/0!</v>
      </c>
      <c r="F44" t="e">
        <f>$C$3*EXP(-$A$1*TLKworksheet!$A44)</f>
        <v>#DIV/0!</v>
      </c>
      <c r="G44" t="e">
        <f>$C$3*EXP(-$A$1*TLKworksheet!$A44)</f>
        <v>#DIV/0!</v>
      </c>
      <c r="H44" t="e">
        <f>$C$3*EXP(-$A$1*TLKworksheet!$A44)</f>
        <v>#DIV/0!</v>
      </c>
      <c r="I44">
        <v>44</v>
      </c>
      <c r="J44" t="e">
        <f>((S44-TwoLevelVANCOMYCINcalc!$M$11)^2)/TwoLevelVANCOMYCINcalc!$M$11</f>
        <v>#DIV/0!</v>
      </c>
      <c r="K44" t="e">
        <f>((T44-TwoLevelVANCOMYCINcalc!$M$12)^2)/TwoLevelVANCOMYCINcalc!$M$12</f>
        <v>#DIV/0!</v>
      </c>
      <c r="L44" t="e">
        <f>((U44-TwoLevelVANCOMYCINcalc!$M$10)^2)/TwoLevelVANCOMYCINcalc!$M$10</f>
        <v>#DIV/0!</v>
      </c>
      <c r="M44" s="5" t="e">
        <f t="shared" si="4"/>
        <v>#DIV/0!</v>
      </c>
      <c r="N44" s="12">
        <f t="shared" si="0"/>
        <v>6000</v>
      </c>
      <c r="O44" s="12">
        <v>2000</v>
      </c>
      <c r="P44" s="12">
        <v>8</v>
      </c>
      <c r="Q44" s="12" t="str">
        <f>VLOOKUP(P44,DLsheet!$I$15:$J$20,2,FALSE)</f>
        <v>Yes</v>
      </c>
      <c r="R44" s="14">
        <f>VLOOKUP(O44,DLsheet!$E$13:$F$21,2,FALSE)</f>
        <v>2</v>
      </c>
      <c r="S44" t="e">
        <f t="shared" si="1"/>
        <v>#DIV/0!</v>
      </c>
      <c r="T44" t="e">
        <f t="shared" si="2"/>
        <v>#DIV/0!</v>
      </c>
      <c r="U44" t="e">
        <f t="shared" si="3"/>
        <v>#DIV/0!</v>
      </c>
    </row>
    <row r="45" spans="1:21" x14ac:dyDescent="0.25">
      <c r="A45">
        <v>21</v>
      </c>
      <c r="B45" t="e">
        <f>HLOOKUP(TwoLevelVANCOMYCINcalc!$M$24,TLKworksheet!$C$1:$H$100,I45,FALSE)</f>
        <v>#DIV/0!</v>
      </c>
      <c r="C45" t="e">
        <f t="shared" si="7"/>
        <v>#DIV/0!</v>
      </c>
      <c r="D45" t="e">
        <f t="shared" si="6"/>
        <v>#DIV/0!</v>
      </c>
      <c r="E45" t="e">
        <f t="shared" si="8"/>
        <v>#DIV/0!</v>
      </c>
      <c r="F45" t="e">
        <f>$C$3*EXP(-$A$1*TLKworksheet!$A45)</f>
        <v>#DIV/0!</v>
      </c>
      <c r="G45" t="e">
        <f>$C$3*EXP(-$A$1*TLKworksheet!$A45)</f>
        <v>#DIV/0!</v>
      </c>
      <c r="H45" t="e">
        <f>$C$3*EXP(-$A$1*TLKworksheet!$A45)</f>
        <v>#DIV/0!</v>
      </c>
      <c r="I45">
        <v>45</v>
      </c>
      <c r="J45" t="e">
        <f>((S45-TwoLevelVANCOMYCINcalc!$M$11)^2)/TwoLevelVANCOMYCINcalc!$M$11</f>
        <v>#DIV/0!</v>
      </c>
      <c r="K45" t="e">
        <f>((T45-TwoLevelVANCOMYCINcalc!$M$12)^2)/TwoLevelVANCOMYCINcalc!$M$12</f>
        <v>#DIV/0!</v>
      </c>
      <c r="L45" t="e">
        <f>((U45-TwoLevelVANCOMYCINcalc!$M$10)^2)/TwoLevelVANCOMYCINcalc!$M$10</f>
        <v>#DIV/0!</v>
      </c>
      <c r="M45" s="5" t="e">
        <f t="shared" si="4"/>
        <v>#DIV/0!</v>
      </c>
      <c r="N45" s="12">
        <f t="shared" si="0"/>
        <v>6750</v>
      </c>
      <c r="O45" s="12">
        <v>2250</v>
      </c>
      <c r="P45" s="12">
        <v>8</v>
      </c>
      <c r="Q45" s="12" t="str">
        <f>VLOOKUP(P45,DLsheet!$I$15:$J$20,2,FALSE)</f>
        <v>Yes</v>
      </c>
      <c r="R45" s="14">
        <f>VLOOKUP(O45,DLsheet!$E$13:$F$21,2,FALSE)</f>
        <v>2.5</v>
      </c>
      <c r="S45" t="e">
        <f t="shared" si="1"/>
        <v>#DIV/0!</v>
      </c>
      <c r="T45" t="e">
        <f t="shared" si="2"/>
        <v>#DIV/0!</v>
      </c>
      <c r="U45" t="e">
        <f t="shared" si="3"/>
        <v>#DIV/0!</v>
      </c>
    </row>
    <row r="46" spans="1:21" x14ac:dyDescent="0.25">
      <c r="A46">
        <v>21.5</v>
      </c>
      <c r="B46" t="e">
        <f>HLOOKUP(TwoLevelVANCOMYCINcalc!$M$24,TLKworksheet!$C$1:$H$100,I46,FALSE)</f>
        <v>#DIV/0!</v>
      </c>
      <c r="C46" t="e">
        <f t="shared" si="7"/>
        <v>#DIV/0!</v>
      </c>
      <c r="D46" t="e">
        <f t="shared" si="6"/>
        <v>#DIV/0!</v>
      </c>
      <c r="E46" t="e">
        <f t="shared" si="8"/>
        <v>#DIV/0!</v>
      </c>
      <c r="F46" t="e">
        <f>$C$3*EXP(-$A$1*TLKworksheet!$A46)</f>
        <v>#DIV/0!</v>
      </c>
      <c r="G46" t="e">
        <f>$C$3*EXP(-$A$1*TLKworksheet!$A46)</f>
        <v>#DIV/0!</v>
      </c>
      <c r="H46" t="e">
        <f>$C$3*EXP(-$A$1*TLKworksheet!$A46)</f>
        <v>#DIV/0!</v>
      </c>
      <c r="I46">
        <v>46</v>
      </c>
      <c r="J46" t="e">
        <f>((S46-TwoLevelVANCOMYCINcalc!$M$11)^2)/TwoLevelVANCOMYCINcalc!$M$11</f>
        <v>#DIV/0!</v>
      </c>
      <c r="K46" t="e">
        <f>((T46-TwoLevelVANCOMYCINcalc!$M$12)^2)/TwoLevelVANCOMYCINcalc!$M$12</f>
        <v>#DIV/0!</v>
      </c>
      <c r="L46" t="e">
        <f>((U46-TwoLevelVANCOMYCINcalc!$M$10)^2)/TwoLevelVANCOMYCINcalc!$M$10</f>
        <v>#DIV/0!</v>
      </c>
      <c r="M46" s="5" t="e">
        <f t="shared" si="4"/>
        <v>#DIV/0!</v>
      </c>
      <c r="N46" s="12">
        <f t="shared" si="0"/>
        <v>7500</v>
      </c>
      <c r="O46" s="12">
        <v>2500</v>
      </c>
      <c r="P46" s="12">
        <v>8</v>
      </c>
      <c r="Q46" s="12" t="str">
        <f>VLOOKUP(P46,DLsheet!$I$15:$J$20,2,FALSE)</f>
        <v>Yes</v>
      </c>
      <c r="R46" s="14">
        <f>VLOOKUP(O46,DLsheet!$E$13:$F$21,2,FALSE)</f>
        <v>2.5</v>
      </c>
      <c r="S46" t="e">
        <f t="shared" si="1"/>
        <v>#DIV/0!</v>
      </c>
      <c r="T46" t="e">
        <f t="shared" si="2"/>
        <v>#DIV/0!</v>
      </c>
      <c r="U46" t="e">
        <f t="shared" si="3"/>
        <v>#DIV/0!</v>
      </c>
    </row>
    <row r="47" spans="1:21" x14ac:dyDescent="0.25">
      <c r="A47">
        <v>22</v>
      </c>
      <c r="B47" t="e">
        <f>HLOOKUP(TwoLevelVANCOMYCINcalc!$M$24,TLKworksheet!$C$1:$H$100,I47,FALSE)</f>
        <v>#DIV/0!</v>
      </c>
      <c r="C47" t="e">
        <f t="shared" si="7"/>
        <v>#DIV/0!</v>
      </c>
      <c r="D47" t="e">
        <f t="shared" si="6"/>
        <v>#DIV/0!</v>
      </c>
      <c r="E47" t="e">
        <f t="shared" si="8"/>
        <v>#DIV/0!</v>
      </c>
      <c r="F47" t="e">
        <f>$C$3*EXP(-$A$1*TLKworksheet!$A47)</f>
        <v>#DIV/0!</v>
      </c>
      <c r="G47" t="e">
        <f>$C$3*EXP(-$A$1*TLKworksheet!$A47)</f>
        <v>#DIV/0!</v>
      </c>
      <c r="H47" t="e">
        <f>$C$3*EXP(-$A$1*TLKworksheet!$A47)</f>
        <v>#DIV/0!</v>
      </c>
      <c r="I47">
        <v>47</v>
      </c>
      <c r="Q47" s="12" t="e">
        <f>VLOOKUP(P47,DLsheet!$I$15:$J$20,2,FALSE)</f>
        <v>#N/A</v>
      </c>
    </row>
    <row r="48" spans="1:21" x14ac:dyDescent="0.25">
      <c r="A48">
        <v>22.5</v>
      </c>
      <c r="B48" t="e">
        <f>HLOOKUP(TwoLevelVANCOMYCINcalc!$M$24,TLKworksheet!$C$1:$H$100,I48,FALSE)</f>
        <v>#DIV/0!</v>
      </c>
      <c r="C48" t="e">
        <f t="shared" si="7"/>
        <v>#DIV/0!</v>
      </c>
      <c r="D48" t="e">
        <f t="shared" si="6"/>
        <v>#DIV/0!</v>
      </c>
      <c r="E48" t="e">
        <f t="shared" si="8"/>
        <v>#DIV/0!</v>
      </c>
      <c r="F48" t="e">
        <f>$C$3*EXP(-$A$1*TLKworksheet!$A48)</f>
        <v>#DIV/0!</v>
      </c>
      <c r="G48" t="e">
        <f>$C$3*EXP(-$A$1*TLKworksheet!$A48)</f>
        <v>#DIV/0!</v>
      </c>
      <c r="H48" t="e">
        <f>$C$3*EXP(-$A$1*TLKworksheet!$A48)</f>
        <v>#DIV/0!</v>
      </c>
      <c r="I48">
        <v>48</v>
      </c>
      <c r="Q48" s="12" t="e">
        <f>VLOOKUP(P48,DLsheet!$I$15:$J$20,2,FALSE)</f>
        <v>#N/A</v>
      </c>
    </row>
    <row r="49" spans="1:17" x14ac:dyDescent="0.25">
      <c r="A49">
        <v>23</v>
      </c>
      <c r="B49" t="e">
        <f>HLOOKUP(TwoLevelVANCOMYCINcalc!$M$24,TLKworksheet!$C$1:$H$100,I49,FALSE)</f>
        <v>#DIV/0!</v>
      </c>
      <c r="C49" t="e">
        <f t="shared" si="7"/>
        <v>#DIV/0!</v>
      </c>
      <c r="D49" t="e">
        <f t="shared" si="6"/>
        <v>#DIV/0!</v>
      </c>
      <c r="E49" t="e">
        <f t="shared" si="8"/>
        <v>#DIV/0!</v>
      </c>
      <c r="F49" t="e">
        <f>$C$3*EXP(-$A$1*TLKworksheet!$A49)</f>
        <v>#DIV/0!</v>
      </c>
      <c r="G49" t="e">
        <f>$C$3*EXP(-$A$1*TLKworksheet!$A49)</f>
        <v>#DIV/0!</v>
      </c>
      <c r="H49" t="e">
        <f>$C$3*EXP(-$A$1*TLKworksheet!$A49)</f>
        <v>#DIV/0!</v>
      </c>
      <c r="I49">
        <v>49</v>
      </c>
      <c r="Q49" s="12" t="e">
        <f>VLOOKUP(P49,DLsheet!$I$15:$J$20,2,FALSE)</f>
        <v>#N/A</v>
      </c>
    </row>
    <row r="50" spans="1:17" x14ac:dyDescent="0.25">
      <c r="A50">
        <v>23.5</v>
      </c>
      <c r="B50" t="e">
        <f>HLOOKUP(TwoLevelVANCOMYCINcalc!$M$24,TLKworksheet!$C$1:$H$100,I50,FALSE)</f>
        <v>#DIV/0!</v>
      </c>
      <c r="C50" t="e">
        <f t="shared" si="7"/>
        <v>#DIV/0!</v>
      </c>
      <c r="D50" t="e">
        <f t="shared" si="6"/>
        <v>#DIV/0!</v>
      </c>
      <c r="E50" t="e">
        <f t="shared" si="8"/>
        <v>#DIV/0!</v>
      </c>
      <c r="F50" t="e">
        <f>$C$3*EXP(-$A$1*TLKworksheet!$A50)</f>
        <v>#DIV/0!</v>
      </c>
      <c r="G50" t="e">
        <f>$C$3*EXP(-$A$1*TLKworksheet!$A50)</f>
        <v>#DIV/0!</v>
      </c>
      <c r="H50" t="e">
        <f>$C$3*EXP(-$A$1*TLKworksheet!$A50)</f>
        <v>#DIV/0!</v>
      </c>
      <c r="I50">
        <v>50</v>
      </c>
      <c r="Q50" s="12" t="e">
        <f>VLOOKUP(P50,DLsheet!$I$15:$J$20,2,FALSE)</f>
        <v>#N/A</v>
      </c>
    </row>
    <row r="51" spans="1:17" x14ac:dyDescent="0.25">
      <c r="A51">
        <v>24</v>
      </c>
      <c r="B51" t="e">
        <f>HLOOKUP(TwoLevelVANCOMYCINcalc!$M$24,TLKworksheet!$C$1:$H$100,I51,FALSE)</f>
        <v>#DIV/0!</v>
      </c>
      <c r="C51" t="e">
        <f t="shared" si="7"/>
        <v>#DIV/0!</v>
      </c>
      <c r="D51" t="e">
        <f t="shared" si="6"/>
        <v>#DIV/0!</v>
      </c>
      <c r="E51" t="e">
        <f t="shared" si="8"/>
        <v>#DIV/0!</v>
      </c>
      <c r="F51" t="e">
        <f>$C$3*EXP(-$A$1*TLKworksheet!$A51)</f>
        <v>#DIV/0!</v>
      </c>
      <c r="G51" t="e">
        <f>$C$3*EXP(-$A$1*TLKworksheet!$A51)</f>
        <v>#DIV/0!</v>
      </c>
      <c r="H51" t="e">
        <f>$C$3*EXP(-$A$1*TLKworksheet!$A51)</f>
        <v>#DIV/0!</v>
      </c>
      <c r="I51">
        <v>51</v>
      </c>
      <c r="Q51" s="12" t="e">
        <f>VLOOKUP(P51,DLsheet!$I$15:$J$20,2,FALSE)</f>
        <v>#N/A</v>
      </c>
    </row>
    <row r="52" spans="1:17" x14ac:dyDescent="0.25">
      <c r="A52">
        <v>24.5</v>
      </c>
      <c r="B52" t="e">
        <f>HLOOKUP(TwoLevelVANCOMYCINcalc!$M$24,TLKworksheet!$C$1:$H$100,I52,FALSE)</f>
        <v>#DIV/0!</v>
      </c>
      <c r="C52" t="e">
        <f>C51+C3</f>
        <v>#DIV/0!</v>
      </c>
      <c r="D52" t="e">
        <f>D51+D3</f>
        <v>#DIV/0!</v>
      </c>
      <c r="E52" t="e">
        <f t="shared" si="8"/>
        <v>#DIV/0!</v>
      </c>
      <c r="F52" t="e">
        <f>F51+F3</f>
        <v>#DIV/0!</v>
      </c>
      <c r="G52" t="e">
        <f>$C$3*EXP(-$A$1*TLKworksheet!$A52)</f>
        <v>#DIV/0!</v>
      </c>
      <c r="H52" t="e">
        <f>$C$3*EXP(-$A$1*TLKworksheet!$A52)</f>
        <v>#DIV/0!</v>
      </c>
      <c r="I52">
        <v>52</v>
      </c>
      <c r="Q52" s="12" t="e">
        <f>VLOOKUP(P52,DLsheet!$I$15:$J$20,2,FALSE)</f>
        <v>#N/A</v>
      </c>
    </row>
    <row r="53" spans="1:17" x14ac:dyDescent="0.25">
      <c r="A53">
        <v>25</v>
      </c>
      <c r="B53" t="e">
        <f>HLOOKUP(TwoLevelVANCOMYCINcalc!$M$24,TLKworksheet!$C$1:$H$100,I53,FALSE)</f>
        <v>#DIV/0!</v>
      </c>
      <c r="C53" t="e">
        <f t="shared" ref="C53:C67" si="9">$C$52*EXP(-$A$1*(A53-24.5))</f>
        <v>#DIV/0!</v>
      </c>
      <c r="D53" t="e">
        <f t="shared" ref="D53:D75" si="10">$D$52*EXP(-$A$1*(A53-24.5))</f>
        <v>#DIV/0!</v>
      </c>
      <c r="E53" t="e">
        <f t="shared" si="8"/>
        <v>#DIV/0!</v>
      </c>
      <c r="F53" t="e">
        <f t="shared" ref="F53:F99" si="11">$F$52*EXP(-$A$1*(A53-24.5))</f>
        <v>#DIV/0!</v>
      </c>
      <c r="G53" t="e">
        <f>$C$3*EXP(-$A$1*TLKworksheet!$A53)</f>
        <v>#DIV/0!</v>
      </c>
      <c r="H53" t="e">
        <f>$C$3*EXP(-$A$1*TLKworksheet!$A53)</f>
        <v>#DIV/0!</v>
      </c>
      <c r="I53">
        <v>53</v>
      </c>
      <c r="Q53" s="12" t="e">
        <f>VLOOKUP(P53,DLsheet!$I$15:$J$20,2,FALSE)</f>
        <v>#N/A</v>
      </c>
    </row>
    <row r="54" spans="1:17" x14ac:dyDescent="0.25">
      <c r="A54">
        <v>25.5</v>
      </c>
      <c r="B54" t="e">
        <f>HLOOKUP(TwoLevelVANCOMYCINcalc!$M$24,TLKworksheet!$C$1:$H$100,I54,FALSE)</f>
        <v>#DIV/0!</v>
      </c>
      <c r="C54" t="e">
        <f t="shared" si="9"/>
        <v>#DIV/0!</v>
      </c>
      <c r="D54" t="e">
        <f t="shared" si="10"/>
        <v>#DIV/0!</v>
      </c>
      <c r="E54" t="e">
        <f t="shared" si="8"/>
        <v>#DIV/0!</v>
      </c>
      <c r="F54" t="e">
        <f t="shared" si="11"/>
        <v>#DIV/0!</v>
      </c>
      <c r="G54" t="e">
        <f>$C$3*EXP(-$A$1*TLKworksheet!$A54)</f>
        <v>#DIV/0!</v>
      </c>
      <c r="H54" t="e">
        <f>$C$3*EXP(-$A$1*TLKworksheet!$A54)</f>
        <v>#DIV/0!</v>
      </c>
      <c r="I54">
        <v>54</v>
      </c>
      <c r="Q54" s="12" t="e">
        <f>VLOOKUP(P54,DLsheet!$I$15:$J$20,2,FALSE)</f>
        <v>#N/A</v>
      </c>
    </row>
    <row r="55" spans="1:17" x14ac:dyDescent="0.25">
      <c r="A55">
        <v>26</v>
      </c>
      <c r="B55" t="e">
        <f>HLOOKUP(TwoLevelVANCOMYCINcalc!$M$24,TLKworksheet!$C$1:$H$100,I55,FALSE)</f>
        <v>#DIV/0!</v>
      </c>
      <c r="C55" t="e">
        <f t="shared" si="9"/>
        <v>#DIV/0!</v>
      </c>
      <c r="D55" t="e">
        <f t="shared" si="10"/>
        <v>#DIV/0!</v>
      </c>
      <c r="E55" t="e">
        <f t="shared" si="8"/>
        <v>#DIV/0!</v>
      </c>
      <c r="F55" t="e">
        <f t="shared" si="11"/>
        <v>#DIV/0!</v>
      </c>
      <c r="G55" t="e">
        <f>$C$3*EXP(-$A$1*TLKworksheet!$A55)</f>
        <v>#DIV/0!</v>
      </c>
      <c r="H55" t="e">
        <f>$C$3*EXP(-$A$1*TLKworksheet!$A55)</f>
        <v>#DIV/0!</v>
      </c>
      <c r="I55">
        <v>55</v>
      </c>
      <c r="Q55" s="12" t="e">
        <f>VLOOKUP(P55,DLsheet!$I$15:$J$20,2,FALSE)</f>
        <v>#N/A</v>
      </c>
    </row>
    <row r="56" spans="1:17" x14ac:dyDescent="0.25">
      <c r="A56">
        <v>26.5</v>
      </c>
      <c r="B56" t="e">
        <f>HLOOKUP(TwoLevelVANCOMYCINcalc!$M$24,TLKworksheet!$C$1:$H$100,I56,FALSE)</f>
        <v>#DIV/0!</v>
      </c>
      <c r="C56" t="e">
        <f t="shared" si="9"/>
        <v>#DIV/0!</v>
      </c>
      <c r="D56" t="e">
        <f t="shared" si="10"/>
        <v>#DIV/0!</v>
      </c>
      <c r="E56" t="e">
        <f t="shared" si="8"/>
        <v>#DIV/0!</v>
      </c>
      <c r="F56" t="e">
        <f t="shared" si="11"/>
        <v>#DIV/0!</v>
      </c>
      <c r="G56" t="e">
        <f>$C$3*EXP(-$A$1*TLKworksheet!$A56)</f>
        <v>#DIV/0!</v>
      </c>
      <c r="H56" t="e">
        <f>$C$3*EXP(-$A$1*TLKworksheet!$A56)</f>
        <v>#DIV/0!</v>
      </c>
      <c r="I56">
        <v>56</v>
      </c>
      <c r="Q56" s="12" t="e">
        <f>VLOOKUP(P56,DLsheet!$I$15:$J$20,2,FALSE)</f>
        <v>#N/A</v>
      </c>
    </row>
    <row r="57" spans="1:17" x14ac:dyDescent="0.25">
      <c r="A57">
        <v>27</v>
      </c>
      <c r="B57" t="e">
        <f>HLOOKUP(TwoLevelVANCOMYCINcalc!$M$24,TLKworksheet!$C$1:$H$100,I57,FALSE)</f>
        <v>#DIV/0!</v>
      </c>
      <c r="C57" t="e">
        <f t="shared" si="9"/>
        <v>#DIV/0!</v>
      </c>
      <c r="D57" t="e">
        <f t="shared" si="10"/>
        <v>#DIV/0!</v>
      </c>
      <c r="E57" t="e">
        <f t="shared" si="8"/>
        <v>#DIV/0!</v>
      </c>
      <c r="F57" t="e">
        <f t="shared" si="11"/>
        <v>#DIV/0!</v>
      </c>
      <c r="G57" t="e">
        <f>$C$3*EXP(-$A$1*TLKworksheet!$A57)</f>
        <v>#DIV/0!</v>
      </c>
      <c r="H57" t="e">
        <f>$C$3*EXP(-$A$1*TLKworksheet!$A57)</f>
        <v>#DIV/0!</v>
      </c>
      <c r="I57">
        <v>57</v>
      </c>
      <c r="Q57" s="12" t="e">
        <f>VLOOKUP(P57,DLsheet!$I$15:$J$20,2,FALSE)</f>
        <v>#N/A</v>
      </c>
    </row>
    <row r="58" spans="1:17" x14ac:dyDescent="0.25">
      <c r="A58">
        <v>27.5</v>
      </c>
      <c r="B58" t="e">
        <f>HLOOKUP(TwoLevelVANCOMYCINcalc!$M$24,TLKworksheet!$C$1:$H$100,I58,FALSE)</f>
        <v>#DIV/0!</v>
      </c>
      <c r="C58" t="e">
        <f t="shared" si="9"/>
        <v>#DIV/0!</v>
      </c>
      <c r="D58" t="e">
        <f t="shared" si="10"/>
        <v>#DIV/0!</v>
      </c>
      <c r="E58" t="e">
        <f t="shared" si="8"/>
        <v>#DIV/0!</v>
      </c>
      <c r="F58" t="e">
        <f t="shared" si="11"/>
        <v>#DIV/0!</v>
      </c>
      <c r="G58" t="e">
        <f>$C$3*EXP(-$A$1*TLKworksheet!$A58)</f>
        <v>#DIV/0!</v>
      </c>
      <c r="H58" t="e">
        <f>$C$3*EXP(-$A$1*TLKworksheet!$A58)</f>
        <v>#DIV/0!</v>
      </c>
      <c r="I58">
        <v>58</v>
      </c>
      <c r="Q58" s="12" t="e">
        <f>VLOOKUP(P58,DLsheet!$I$15:$J$20,2,FALSE)</f>
        <v>#N/A</v>
      </c>
    </row>
    <row r="59" spans="1:17" x14ac:dyDescent="0.25">
      <c r="A59">
        <v>28</v>
      </c>
      <c r="B59" t="e">
        <f>HLOOKUP(TwoLevelVANCOMYCINcalc!$M$24,TLKworksheet!$C$1:$H$100,I59,FALSE)</f>
        <v>#DIV/0!</v>
      </c>
      <c r="C59" t="e">
        <f t="shared" si="9"/>
        <v>#DIV/0!</v>
      </c>
      <c r="D59" t="e">
        <f t="shared" si="10"/>
        <v>#DIV/0!</v>
      </c>
      <c r="E59" t="e">
        <f t="shared" si="8"/>
        <v>#DIV/0!</v>
      </c>
      <c r="F59" t="e">
        <f t="shared" si="11"/>
        <v>#DIV/0!</v>
      </c>
      <c r="G59" t="e">
        <f>$C$3*EXP(-$A$1*TLKworksheet!$A59)</f>
        <v>#DIV/0!</v>
      </c>
      <c r="H59" t="e">
        <f>$C$3*EXP(-$A$1*TLKworksheet!$A59)</f>
        <v>#DIV/0!</v>
      </c>
      <c r="I59">
        <v>59</v>
      </c>
      <c r="Q59" s="12" t="e">
        <f>VLOOKUP(P59,DLsheet!$I$15:$J$20,2,FALSE)</f>
        <v>#N/A</v>
      </c>
    </row>
    <row r="60" spans="1:17" x14ac:dyDescent="0.25">
      <c r="A60">
        <v>28.5</v>
      </c>
      <c r="B60" t="e">
        <f>HLOOKUP(TwoLevelVANCOMYCINcalc!$M$24,TLKworksheet!$C$1:$H$100,I60,FALSE)</f>
        <v>#DIV/0!</v>
      </c>
      <c r="C60" t="e">
        <f t="shared" si="9"/>
        <v>#DIV/0!</v>
      </c>
      <c r="D60" t="e">
        <f t="shared" si="10"/>
        <v>#DIV/0!</v>
      </c>
      <c r="E60" t="e">
        <f t="shared" si="8"/>
        <v>#DIV/0!</v>
      </c>
      <c r="F60" t="e">
        <f t="shared" si="11"/>
        <v>#DIV/0!</v>
      </c>
      <c r="G60" t="e">
        <f>$C$3*EXP(-$A$1*TLKworksheet!$A60)</f>
        <v>#DIV/0!</v>
      </c>
      <c r="H60" t="e">
        <f>$C$3*EXP(-$A$1*TLKworksheet!$A60)</f>
        <v>#DIV/0!</v>
      </c>
      <c r="I60">
        <v>60</v>
      </c>
      <c r="Q60" s="12" t="e">
        <f>VLOOKUP(P60,DLsheet!$I$15:$J$20,2,FALSE)</f>
        <v>#N/A</v>
      </c>
    </row>
    <row r="61" spans="1:17" x14ac:dyDescent="0.25">
      <c r="A61">
        <v>29</v>
      </c>
      <c r="B61" t="e">
        <f>HLOOKUP(TwoLevelVANCOMYCINcalc!$M$24,TLKworksheet!$C$1:$H$100,I61,FALSE)</f>
        <v>#DIV/0!</v>
      </c>
      <c r="C61" t="e">
        <f t="shared" si="9"/>
        <v>#DIV/0!</v>
      </c>
      <c r="D61" t="e">
        <f t="shared" si="10"/>
        <v>#DIV/0!</v>
      </c>
      <c r="E61" t="e">
        <f t="shared" si="8"/>
        <v>#DIV/0!</v>
      </c>
      <c r="F61" t="e">
        <f t="shared" si="11"/>
        <v>#DIV/0!</v>
      </c>
      <c r="G61" t="e">
        <f>$C$3*EXP(-$A$1*TLKworksheet!$A61)</f>
        <v>#DIV/0!</v>
      </c>
      <c r="H61" t="e">
        <f>$C$3*EXP(-$A$1*TLKworksheet!$A61)</f>
        <v>#DIV/0!</v>
      </c>
      <c r="I61">
        <v>61</v>
      </c>
      <c r="Q61" s="12" t="e">
        <f>VLOOKUP(P61,DLsheet!$I$15:$J$20,2,FALSE)</f>
        <v>#N/A</v>
      </c>
    </row>
    <row r="62" spans="1:17" x14ac:dyDescent="0.25">
      <c r="A62">
        <v>29.5</v>
      </c>
      <c r="B62" t="e">
        <f>HLOOKUP(TwoLevelVANCOMYCINcalc!$M$24,TLKworksheet!$C$1:$H$100,I62,FALSE)</f>
        <v>#DIV/0!</v>
      </c>
      <c r="C62" t="e">
        <f t="shared" si="9"/>
        <v>#DIV/0!</v>
      </c>
      <c r="D62" t="e">
        <f t="shared" si="10"/>
        <v>#DIV/0!</v>
      </c>
      <c r="E62" t="e">
        <f t="shared" si="8"/>
        <v>#DIV/0!</v>
      </c>
      <c r="F62" t="e">
        <f t="shared" si="11"/>
        <v>#DIV/0!</v>
      </c>
      <c r="G62" t="e">
        <f>$C$3*EXP(-$A$1*TLKworksheet!$A62)</f>
        <v>#DIV/0!</v>
      </c>
      <c r="H62" t="e">
        <f>$C$3*EXP(-$A$1*TLKworksheet!$A62)</f>
        <v>#DIV/0!</v>
      </c>
      <c r="I62">
        <v>62</v>
      </c>
      <c r="Q62" s="12" t="e">
        <f>VLOOKUP(P62,DLsheet!$I$15:$J$20,2,FALSE)</f>
        <v>#N/A</v>
      </c>
    </row>
    <row r="63" spans="1:17" x14ac:dyDescent="0.25">
      <c r="A63">
        <v>30</v>
      </c>
      <c r="B63" t="e">
        <f>HLOOKUP(TwoLevelVANCOMYCINcalc!$M$24,TLKworksheet!$C$1:$H$100,I63,FALSE)</f>
        <v>#DIV/0!</v>
      </c>
      <c r="C63" t="e">
        <f t="shared" si="9"/>
        <v>#DIV/0!</v>
      </c>
      <c r="D63" t="e">
        <f t="shared" si="10"/>
        <v>#DIV/0!</v>
      </c>
      <c r="E63" t="e">
        <f t="shared" si="8"/>
        <v>#DIV/0!</v>
      </c>
      <c r="F63" t="e">
        <f t="shared" si="11"/>
        <v>#DIV/0!</v>
      </c>
      <c r="G63" t="e">
        <f>$C$3*EXP(-$A$1*TLKworksheet!$A63)</f>
        <v>#DIV/0!</v>
      </c>
      <c r="H63" t="e">
        <f>$C$3*EXP(-$A$1*TLKworksheet!$A63)</f>
        <v>#DIV/0!</v>
      </c>
      <c r="I63">
        <v>63</v>
      </c>
      <c r="Q63" s="12" t="e">
        <f>VLOOKUP(P63,DLsheet!$I$15:$J$20,2,FALSE)</f>
        <v>#N/A</v>
      </c>
    </row>
    <row r="64" spans="1:17" x14ac:dyDescent="0.25">
      <c r="A64">
        <v>30.5</v>
      </c>
      <c r="B64" t="e">
        <f>HLOOKUP(TwoLevelVANCOMYCINcalc!$M$24,TLKworksheet!$C$1:$H$100,I64,FALSE)</f>
        <v>#DIV/0!</v>
      </c>
      <c r="C64" t="e">
        <f t="shared" si="9"/>
        <v>#DIV/0!</v>
      </c>
      <c r="D64" t="e">
        <f t="shared" si="10"/>
        <v>#DIV/0!</v>
      </c>
      <c r="E64" t="e">
        <f t="shared" si="8"/>
        <v>#DIV/0!</v>
      </c>
      <c r="F64" t="e">
        <f t="shared" si="11"/>
        <v>#DIV/0!</v>
      </c>
      <c r="G64" t="e">
        <f>$C$3*EXP(-$A$1*TLKworksheet!$A64)</f>
        <v>#DIV/0!</v>
      </c>
      <c r="H64" t="e">
        <f>$C$3*EXP(-$A$1*TLKworksheet!$A64)</f>
        <v>#DIV/0!</v>
      </c>
      <c r="I64">
        <v>64</v>
      </c>
      <c r="Q64" s="12" t="e">
        <f>VLOOKUP(P64,DLsheet!$I$15:$J$20,2,FALSE)</f>
        <v>#N/A</v>
      </c>
    </row>
    <row r="65" spans="1:17" x14ac:dyDescent="0.25">
      <c r="A65">
        <v>31</v>
      </c>
      <c r="B65" t="e">
        <f>HLOOKUP(TwoLevelVANCOMYCINcalc!$M$24,TLKworksheet!$C$1:$H$100,I65,FALSE)</f>
        <v>#DIV/0!</v>
      </c>
      <c r="C65" t="e">
        <f t="shared" si="9"/>
        <v>#DIV/0!</v>
      </c>
      <c r="D65" t="e">
        <f t="shared" si="10"/>
        <v>#DIV/0!</v>
      </c>
      <c r="E65" t="e">
        <f t="shared" si="8"/>
        <v>#DIV/0!</v>
      </c>
      <c r="F65" t="e">
        <f t="shared" si="11"/>
        <v>#DIV/0!</v>
      </c>
      <c r="G65" t="e">
        <f>$C$3*EXP(-$A$1*TLKworksheet!$A65)</f>
        <v>#DIV/0!</v>
      </c>
      <c r="H65" t="e">
        <f>$C$3*EXP(-$A$1*TLKworksheet!$A65)</f>
        <v>#DIV/0!</v>
      </c>
      <c r="I65">
        <v>65</v>
      </c>
      <c r="Q65" s="12" t="e">
        <f>VLOOKUP(P65,DLsheet!$I$15:$J$20,2,FALSE)</f>
        <v>#N/A</v>
      </c>
    </row>
    <row r="66" spans="1:17" x14ac:dyDescent="0.25">
      <c r="A66">
        <v>31.5</v>
      </c>
      <c r="B66" t="e">
        <f>HLOOKUP(TwoLevelVANCOMYCINcalc!$M$24,TLKworksheet!$C$1:$H$100,I66,FALSE)</f>
        <v>#DIV/0!</v>
      </c>
      <c r="C66" t="e">
        <f t="shared" si="9"/>
        <v>#DIV/0!</v>
      </c>
      <c r="D66" t="e">
        <f t="shared" si="10"/>
        <v>#DIV/0!</v>
      </c>
      <c r="E66" t="e">
        <f t="shared" si="8"/>
        <v>#DIV/0!</v>
      </c>
      <c r="F66" t="e">
        <f t="shared" si="11"/>
        <v>#DIV/0!</v>
      </c>
      <c r="G66" t="e">
        <f>$C$3*EXP(-$A$1*TLKworksheet!$A66)</f>
        <v>#DIV/0!</v>
      </c>
      <c r="H66" t="e">
        <f>$C$3*EXP(-$A$1*TLKworksheet!$A66)</f>
        <v>#DIV/0!</v>
      </c>
      <c r="I66">
        <v>66</v>
      </c>
      <c r="Q66" s="12" t="e">
        <f>VLOOKUP(P66,DLsheet!$I$15:$J$20,2,FALSE)</f>
        <v>#N/A</v>
      </c>
    </row>
    <row r="67" spans="1:17" x14ac:dyDescent="0.25">
      <c r="A67">
        <v>32</v>
      </c>
      <c r="B67" t="e">
        <f>HLOOKUP(TwoLevelVANCOMYCINcalc!$M$24,TLKworksheet!$C$1:$H$100,I67,FALSE)</f>
        <v>#DIV/0!</v>
      </c>
      <c r="C67" t="e">
        <f t="shared" si="9"/>
        <v>#DIV/0!</v>
      </c>
      <c r="D67" t="e">
        <f t="shared" si="10"/>
        <v>#DIV/0!</v>
      </c>
      <c r="E67" t="e">
        <f t="shared" si="8"/>
        <v>#DIV/0!</v>
      </c>
      <c r="F67" t="e">
        <f t="shared" si="11"/>
        <v>#DIV/0!</v>
      </c>
      <c r="G67" t="e">
        <f>$C$3*EXP(-$A$1*TLKworksheet!$A67)</f>
        <v>#DIV/0!</v>
      </c>
      <c r="H67" t="e">
        <f>$C$3*EXP(-$A$1*TLKworksheet!$A67)</f>
        <v>#DIV/0!</v>
      </c>
      <c r="I67">
        <v>67</v>
      </c>
      <c r="Q67" s="12" t="e">
        <f>VLOOKUP(P67,DLsheet!$I$15:$J$20,2,FALSE)</f>
        <v>#N/A</v>
      </c>
    </row>
    <row r="68" spans="1:17" x14ac:dyDescent="0.25">
      <c r="A68">
        <v>32.5</v>
      </c>
      <c r="B68" t="e">
        <f>HLOOKUP(TwoLevelVANCOMYCINcalc!$M$24,TLKworksheet!$C$1:$H$100,I68,FALSE)</f>
        <v>#DIV/0!</v>
      </c>
      <c r="C68" t="e">
        <f>$C$67+C3</f>
        <v>#DIV/0!</v>
      </c>
      <c r="D68" t="e">
        <f t="shared" si="10"/>
        <v>#DIV/0!</v>
      </c>
      <c r="E68" t="e">
        <f>E3+E67</f>
        <v>#DIV/0!</v>
      </c>
      <c r="F68" t="e">
        <f t="shared" si="11"/>
        <v>#DIV/0!</v>
      </c>
      <c r="G68" t="e">
        <f>$C$3*EXP(-$A$1*TLKworksheet!$A68)</f>
        <v>#DIV/0!</v>
      </c>
      <c r="H68" t="e">
        <f>$C$3*EXP(-$A$1*TLKworksheet!$A68)</f>
        <v>#DIV/0!</v>
      </c>
      <c r="I68">
        <v>68</v>
      </c>
      <c r="Q68" s="12" t="e">
        <f>VLOOKUP(P68,DLsheet!$I$15:$J$20,2,FALSE)</f>
        <v>#N/A</v>
      </c>
    </row>
    <row r="69" spans="1:17" x14ac:dyDescent="0.25">
      <c r="A69">
        <v>33</v>
      </c>
      <c r="B69" t="e">
        <f>HLOOKUP(TwoLevelVANCOMYCINcalc!$M$24,TLKworksheet!$C$1:$H$100,I69,FALSE)</f>
        <v>#DIV/0!</v>
      </c>
      <c r="C69" t="e">
        <f t="shared" ref="C69:C83" si="12">$C$68*EXP(-$A$1*(A69-32.5))</f>
        <v>#DIV/0!</v>
      </c>
      <c r="D69" t="e">
        <f t="shared" si="10"/>
        <v>#DIV/0!</v>
      </c>
      <c r="E69" t="e">
        <f t="shared" ref="E69:E100" si="13">$E$68*EXP(-$A$1*(A69-32.5))</f>
        <v>#DIV/0!</v>
      </c>
      <c r="F69" t="e">
        <f t="shared" si="11"/>
        <v>#DIV/0!</v>
      </c>
      <c r="G69" t="e">
        <f>$C$3*EXP(-$A$1*TLKworksheet!$A69)</f>
        <v>#DIV/0!</v>
      </c>
      <c r="H69" t="e">
        <f>$C$3*EXP(-$A$1*TLKworksheet!$A69)</f>
        <v>#DIV/0!</v>
      </c>
      <c r="I69">
        <v>69</v>
      </c>
      <c r="Q69" s="12" t="e">
        <f>VLOOKUP(P69,DLsheet!$I$15:$J$20,2,FALSE)</f>
        <v>#N/A</v>
      </c>
    </row>
    <row r="70" spans="1:17" x14ac:dyDescent="0.25">
      <c r="A70">
        <v>33.5</v>
      </c>
      <c r="B70" t="e">
        <f>HLOOKUP(TwoLevelVANCOMYCINcalc!$M$24,TLKworksheet!$C$1:$H$100,I70,FALSE)</f>
        <v>#DIV/0!</v>
      </c>
      <c r="C70" t="e">
        <f t="shared" si="12"/>
        <v>#DIV/0!</v>
      </c>
      <c r="D70" t="e">
        <f t="shared" si="10"/>
        <v>#DIV/0!</v>
      </c>
      <c r="E70" t="e">
        <f t="shared" si="13"/>
        <v>#DIV/0!</v>
      </c>
      <c r="F70" t="e">
        <f t="shared" si="11"/>
        <v>#DIV/0!</v>
      </c>
      <c r="G70" t="e">
        <f>$C$3*EXP(-$A$1*TLKworksheet!$A70)</f>
        <v>#DIV/0!</v>
      </c>
      <c r="H70" t="e">
        <f>$C$3*EXP(-$A$1*TLKworksheet!$A70)</f>
        <v>#DIV/0!</v>
      </c>
      <c r="I70">
        <v>70</v>
      </c>
      <c r="Q70" s="12" t="e">
        <f>VLOOKUP(P70,DLsheet!$I$15:$J$20,2,FALSE)</f>
        <v>#N/A</v>
      </c>
    </row>
    <row r="71" spans="1:17" x14ac:dyDescent="0.25">
      <c r="A71">
        <v>34</v>
      </c>
      <c r="B71" t="e">
        <f>HLOOKUP(TwoLevelVANCOMYCINcalc!$M$24,TLKworksheet!$C$1:$H$100,I71,FALSE)</f>
        <v>#DIV/0!</v>
      </c>
      <c r="C71" t="e">
        <f t="shared" si="12"/>
        <v>#DIV/0!</v>
      </c>
      <c r="D71" t="e">
        <f t="shared" si="10"/>
        <v>#DIV/0!</v>
      </c>
      <c r="E71" t="e">
        <f t="shared" si="13"/>
        <v>#DIV/0!</v>
      </c>
      <c r="F71" t="e">
        <f t="shared" si="11"/>
        <v>#DIV/0!</v>
      </c>
      <c r="G71" t="e">
        <f>$C$3*EXP(-$A$1*TLKworksheet!$A71)</f>
        <v>#DIV/0!</v>
      </c>
      <c r="H71" t="e">
        <f>$C$3*EXP(-$A$1*TLKworksheet!$A71)</f>
        <v>#DIV/0!</v>
      </c>
      <c r="I71">
        <v>71</v>
      </c>
      <c r="Q71" s="12" t="e">
        <f>VLOOKUP(P71,DLsheet!$I$15:$J$20,2,FALSE)</f>
        <v>#N/A</v>
      </c>
    </row>
    <row r="72" spans="1:17" x14ac:dyDescent="0.25">
      <c r="A72">
        <v>34.5</v>
      </c>
      <c r="B72" t="e">
        <f>HLOOKUP(TwoLevelVANCOMYCINcalc!$M$24,TLKworksheet!$C$1:$H$100,I72,FALSE)</f>
        <v>#DIV/0!</v>
      </c>
      <c r="C72" t="e">
        <f t="shared" si="12"/>
        <v>#DIV/0!</v>
      </c>
      <c r="D72" t="e">
        <f t="shared" si="10"/>
        <v>#DIV/0!</v>
      </c>
      <c r="E72" t="e">
        <f t="shared" si="13"/>
        <v>#DIV/0!</v>
      </c>
      <c r="F72" t="e">
        <f t="shared" si="11"/>
        <v>#DIV/0!</v>
      </c>
      <c r="G72" t="e">
        <f>$C$3*EXP(-$A$1*TLKworksheet!$A72)</f>
        <v>#DIV/0!</v>
      </c>
      <c r="H72" t="e">
        <f>$C$3*EXP(-$A$1*TLKworksheet!$A72)</f>
        <v>#DIV/0!</v>
      </c>
      <c r="I72">
        <v>72</v>
      </c>
      <c r="Q72" s="12" t="e">
        <f>VLOOKUP(P72,DLsheet!$I$15:$J$20,2,FALSE)</f>
        <v>#N/A</v>
      </c>
    </row>
    <row r="73" spans="1:17" x14ac:dyDescent="0.25">
      <c r="A73">
        <v>35</v>
      </c>
      <c r="B73" t="e">
        <f>HLOOKUP(TwoLevelVANCOMYCINcalc!$M$24,TLKworksheet!$C$1:$H$100,I73,FALSE)</f>
        <v>#DIV/0!</v>
      </c>
      <c r="C73" t="e">
        <f t="shared" si="12"/>
        <v>#DIV/0!</v>
      </c>
      <c r="D73" t="e">
        <f t="shared" si="10"/>
        <v>#DIV/0!</v>
      </c>
      <c r="E73" t="e">
        <f t="shared" si="13"/>
        <v>#DIV/0!</v>
      </c>
      <c r="F73" t="e">
        <f t="shared" si="11"/>
        <v>#DIV/0!</v>
      </c>
      <c r="G73" t="e">
        <f>$C$3*EXP(-$A$1*TLKworksheet!$A73)</f>
        <v>#DIV/0!</v>
      </c>
      <c r="H73" t="e">
        <f>$C$3*EXP(-$A$1*TLKworksheet!$A73)</f>
        <v>#DIV/0!</v>
      </c>
      <c r="I73">
        <v>73</v>
      </c>
      <c r="Q73" s="12" t="e">
        <f>VLOOKUP(P73,DLsheet!$I$15:$J$20,2,FALSE)</f>
        <v>#N/A</v>
      </c>
    </row>
    <row r="74" spans="1:17" x14ac:dyDescent="0.25">
      <c r="A74">
        <v>35.5</v>
      </c>
      <c r="B74" t="e">
        <f>HLOOKUP(TwoLevelVANCOMYCINcalc!$M$24,TLKworksheet!$C$1:$H$100,I74,FALSE)</f>
        <v>#DIV/0!</v>
      </c>
      <c r="C74" t="e">
        <f t="shared" si="12"/>
        <v>#DIV/0!</v>
      </c>
      <c r="D74" t="e">
        <f t="shared" si="10"/>
        <v>#DIV/0!</v>
      </c>
      <c r="E74" t="e">
        <f t="shared" si="13"/>
        <v>#DIV/0!</v>
      </c>
      <c r="F74" t="e">
        <f t="shared" si="11"/>
        <v>#DIV/0!</v>
      </c>
      <c r="G74" t="e">
        <f>$C$3*EXP(-$A$1*TLKworksheet!$A74)</f>
        <v>#DIV/0!</v>
      </c>
      <c r="H74" t="e">
        <f>$C$3*EXP(-$A$1*TLKworksheet!$A74)</f>
        <v>#DIV/0!</v>
      </c>
      <c r="I74">
        <v>74</v>
      </c>
      <c r="Q74" s="12" t="e">
        <f>VLOOKUP(P74,DLsheet!$I$15:$J$20,2,FALSE)</f>
        <v>#N/A</v>
      </c>
    </row>
    <row r="75" spans="1:17" x14ac:dyDescent="0.25">
      <c r="A75">
        <v>36</v>
      </c>
      <c r="B75" t="e">
        <f>HLOOKUP(TwoLevelVANCOMYCINcalc!$M$24,TLKworksheet!$C$1:$H$100,I75,FALSE)</f>
        <v>#DIV/0!</v>
      </c>
      <c r="C75" t="e">
        <f t="shared" si="12"/>
        <v>#DIV/0!</v>
      </c>
      <c r="D75" t="e">
        <f t="shared" si="10"/>
        <v>#DIV/0!</v>
      </c>
      <c r="E75" t="e">
        <f t="shared" si="13"/>
        <v>#DIV/0!</v>
      </c>
      <c r="F75" t="e">
        <f t="shared" si="11"/>
        <v>#DIV/0!</v>
      </c>
      <c r="G75" t="e">
        <f>G3+G74</f>
        <v>#DIV/0!</v>
      </c>
      <c r="H75" t="e">
        <f>$C$3*EXP(-$A$1*TLKworksheet!$A75)</f>
        <v>#DIV/0!</v>
      </c>
      <c r="I75">
        <v>75</v>
      </c>
      <c r="Q75" s="12" t="e">
        <f>VLOOKUP(P75,DLsheet!$I$15:$J$20,2,FALSE)</f>
        <v>#N/A</v>
      </c>
    </row>
    <row r="76" spans="1:17" x14ac:dyDescent="0.25">
      <c r="A76">
        <v>36.5</v>
      </c>
      <c r="B76" t="e">
        <f>HLOOKUP(TwoLevelVANCOMYCINcalc!$M$24,TLKworksheet!$C$1:$H$100,I76,FALSE)</f>
        <v>#DIV/0!</v>
      </c>
      <c r="C76" t="e">
        <f t="shared" si="12"/>
        <v>#DIV/0!</v>
      </c>
      <c r="D76" t="e">
        <f>D3+D75</f>
        <v>#DIV/0!</v>
      </c>
      <c r="E76" t="e">
        <f t="shared" si="13"/>
        <v>#DIV/0!</v>
      </c>
      <c r="F76" t="e">
        <f t="shared" si="11"/>
        <v>#DIV/0!</v>
      </c>
      <c r="G76" t="e">
        <f t="shared" ref="G76:G100" si="14">$G$75*EXP(-$A$1*(A76-36))</f>
        <v>#DIV/0!</v>
      </c>
      <c r="H76" t="e">
        <f>$C$3*EXP(-$A$1*TLKworksheet!$A76)</f>
        <v>#DIV/0!</v>
      </c>
      <c r="I76">
        <v>76</v>
      </c>
      <c r="Q76" s="12" t="e">
        <f>VLOOKUP(P76,DLsheet!$I$15:$J$20,2,FALSE)</f>
        <v>#N/A</v>
      </c>
    </row>
    <row r="77" spans="1:17" x14ac:dyDescent="0.25">
      <c r="A77">
        <v>37</v>
      </c>
      <c r="B77" t="e">
        <f>HLOOKUP(TwoLevelVANCOMYCINcalc!$M$24,TLKworksheet!$C$1:$H$100,I77,FALSE)</f>
        <v>#DIV/0!</v>
      </c>
      <c r="C77" t="e">
        <f t="shared" si="12"/>
        <v>#DIV/0!</v>
      </c>
      <c r="D77" t="e">
        <f t="shared" ref="D77:D99" si="15">$D$76*EXP(-$A$1*(A77-36.5))</f>
        <v>#DIV/0!</v>
      </c>
      <c r="E77" t="e">
        <f t="shared" si="13"/>
        <v>#DIV/0!</v>
      </c>
      <c r="F77" t="e">
        <f t="shared" si="11"/>
        <v>#DIV/0!</v>
      </c>
      <c r="G77" t="e">
        <f t="shared" si="14"/>
        <v>#DIV/0!</v>
      </c>
      <c r="H77" t="e">
        <f>$C$3*EXP(-$A$1*TLKworksheet!$A77)</f>
        <v>#DIV/0!</v>
      </c>
      <c r="I77">
        <v>77</v>
      </c>
      <c r="Q77" s="12" t="e">
        <f>VLOOKUP(P77,DLsheet!$I$15:$J$20,2,FALSE)</f>
        <v>#N/A</v>
      </c>
    </row>
    <row r="78" spans="1:17" x14ac:dyDescent="0.25">
      <c r="A78">
        <v>37.5</v>
      </c>
      <c r="B78" t="e">
        <f>HLOOKUP(TwoLevelVANCOMYCINcalc!$M$24,TLKworksheet!$C$1:$H$100,I78,FALSE)</f>
        <v>#DIV/0!</v>
      </c>
      <c r="C78" t="e">
        <f t="shared" si="12"/>
        <v>#DIV/0!</v>
      </c>
      <c r="D78" t="e">
        <f t="shared" si="15"/>
        <v>#DIV/0!</v>
      </c>
      <c r="E78" t="e">
        <f t="shared" si="13"/>
        <v>#DIV/0!</v>
      </c>
      <c r="F78" t="e">
        <f t="shared" si="11"/>
        <v>#DIV/0!</v>
      </c>
      <c r="G78" t="e">
        <f t="shared" si="14"/>
        <v>#DIV/0!</v>
      </c>
      <c r="H78" t="e">
        <f>$C$3*EXP(-$A$1*TLKworksheet!$A78)</f>
        <v>#DIV/0!</v>
      </c>
      <c r="I78">
        <v>78</v>
      </c>
      <c r="Q78" s="12" t="e">
        <f>VLOOKUP(P78,DLsheet!$I$15:$J$20,2,FALSE)</f>
        <v>#N/A</v>
      </c>
    </row>
    <row r="79" spans="1:17" x14ac:dyDescent="0.25">
      <c r="A79">
        <v>38</v>
      </c>
      <c r="B79" t="e">
        <f>HLOOKUP(TwoLevelVANCOMYCINcalc!$M$24,TLKworksheet!$C$1:$H$100,I79,FALSE)</f>
        <v>#DIV/0!</v>
      </c>
      <c r="C79" t="e">
        <f t="shared" si="12"/>
        <v>#DIV/0!</v>
      </c>
      <c r="D79" t="e">
        <f t="shared" si="15"/>
        <v>#DIV/0!</v>
      </c>
      <c r="E79" t="e">
        <f t="shared" si="13"/>
        <v>#DIV/0!</v>
      </c>
      <c r="F79" t="e">
        <f t="shared" si="11"/>
        <v>#DIV/0!</v>
      </c>
      <c r="G79" t="e">
        <f t="shared" si="14"/>
        <v>#DIV/0!</v>
      </c>
      <c r="H79" t="e">
        <f>$C$3*EXP(-$A$1*TLKworksheet!$A79)</f>
        <v>#DIV/0!</v>
      </c>
      <c r="I79">
        <v>79</v>
      </c>
      <c r="Q79" s="12" t="e">
        <f>VLOOKUP(P79,DLsheet!$I$15:$J$20,2,FALSE)</f>
        <v>#N/A</v>
      </c>
    </row>
    <row r="80" spans="1:17" x14ac:dyDescent="0.25">
      <c r="A80">
        <v>38.5</v>
      </c>
      <c r="B80" t="e">
        <f>HLOOKUP(TwoLevelVANCOMYCINcalc!$M$24,TLKworksheet!$C$1:$H$100,I80,FALSE)</f>
        <v>#DIV/0!</v>
      </c>
      <c r="C80" t="e">
        <f t="shared" si="12"/>
        <v>#DIV/0!</v>
      </c>
      <c r="D80" t="e">
        <f t="shared" si="15"/>
        <v>#DIV/0!</v>
      </c>
      <c r="E80" t="e">
        <f t="shared" si="13"/>
        <v>#DIV/0!</v>
      </c>
      <c r="F80" t="e">
        <f t="shared" si="11"/>
        <v>#DIV/0!</v>
      </c>
      <c r="G80" t="e">
        <f t="shared" si="14"/>
        <v>#DIV/0!</v>
      </c>
      <c r="H80" t="e">
        <f>$C$3*EXP(-$A$1*TLKworksheet!$A80)</f>
        <v>#DIV/0!</v>
      </c>
      <c r="I80">
        <v>80</v>
      </c>
      <c r="Q80" s="12" t="e">
        <f>VLOOKUP(P80,DLsheet!$I$15:$J$20,2,FALSE)</f>
        <v>#N/A</v>
      </c>
    </row>
    <row r="81" spans="1:17" x14ac:dyDescent="0.25">
      <c r="A81">
        <v>39</v>
      </c>
      <c r="B81" t="e">
        <f>HLOOKUP(TwoLevelVANCOMYCINcalc!$M$24,TLKworksheet!$C$1:$H$100,I81,FALSE)</f>
        <v>#DIV/0!</v>
      </c>
      <c r="C81" t="e">
        <f t="shared" si="12"/>
        <v>#DIV/0!</v>
      </c>
      <c r="D81" t="e">
        <f t="shared" si="15"/>
        <v>#DIV/0!</v>
      </c>
      <c r="E81" t="e">
        <f t="shared" si="13"/>
        <v>#DIV/0!</v>
      </c>
      <c r="F81" t="e">
        <f t="shared" si="11"/>
        <v>#DIV/0!</v>
      </c>
      <c r="G81" t="e">
        <f t="shared" si="14"/>
        <v>#DIV/0!</v>
      </c>
      <c r="H81" t="e">
        <f>$C$3*EXP(-$A$1*TLKworksheet!$A81)</f>
        <v>#DIV/0!</v>
      </c>
      <c r="I81">
        <v>81</v>
      </c>
      <c r="Q81" s="12" t="e">
        <f>VLOOKUP(P81,DLsheet!$I$15:$J$20,2,FALSE)</f>
        <v>#N/A</v>
      </c>
    </row>
    <row r="82" spans="1:17" x14ac:dyDescent="0.25">
      <c r="A82">
        <v>39.5</v>
      </c>
      <c r="B82" t="e">
        <f>HLOOKUP(TwoLevelVANCOMYCINcalc!$M$24,TLKworksheet!$C$1:$H$100,I82,FALSE)</f>
        <v>#DIV/0!</v>
      </c>
      <c r="C82" t="e">
        <f t="shared" si="12"/>
        <v>#DIV/0!</v>
      </c>
      <c r="D82" t="e">
        <f t="shared" si="15"/>
        <v>#DIV/0!</v>
      </c>
      <c r="E82" t="e">
        <f t="shared" si="13"/>
        <v>#DIV/0!</v>
      </c>
      <c r="F82" t="e">
        <f t="shared" si="11"/>
        <v>#DIV/0!</v>
      </c>
      <c r="G82" t="e">
        <f t="shared" si="14"/>
        <v>#DIV/0!</v>
      </c>
      <c r="H82" t="e">
        <f>$C$3*EXP(-$A$1*TLKworksheet!$A82)</f>
        <v>#DIV/0!</v>
      </c>
      <c r="I82">
        <v>82</v>
      </c>
      <c r="Q82" s="12" t="e">
        <f>VLOOKUP(P82,DLsheet!$I$15:$J$20,2,FALSE)</f>
        <v>#N/A</v>
      </c>
    </row>
    <row r="83" spans="1:17" x14ac:dyDescent="0.25">
      <c r="A83">
        <v>40</v>
      </c>
      <c r="B83" t="e">
        <f>HLOOKUP(TwoLevelVANCOMYCINcalc!$M$24,TLKworksheet!$C$1:$H$100,I83,FALSE)</f>
        <v>#DIV/0!</v>
      </c>
      <c r="C83" t="e">
        <f t="shared" si="12"/>
        <v>#DIV/0!</v>
      </c>
      <c r="D83" t="e">
        <f t="shared" si="15"/>
        <v>#DIV/0!</v>
      </c>
      <c r="E83" t="e">
        <f t="shared" si="13"/>
        <v>#DIV/0!</v>
      </c>
      <c r="F83" t="e">
        <f t="shared" si="11"/>
        <v>#DIV/0!</v>
      </c>
      <c r="G83" t="e">
        <f t="shared" si="14"/>
        <v>#DIV/0!</v>
      </c>
      <c r="H83" t="e">
        <f>$C$3*EXP(-$A$1*TLKworksheet!$A83)</f>
        <v>#DIV/0!</v>
      </c>
      <c r="I83">
        <v>83</v>
      </c>
      <c r="Q83" s="12" t="e">
        <f>VLOOKUP(P83,DLsheet!$I$15:$J$20,2,FALSE)</f>
        <v>#N/A</v>
      </c>
    </row>
    <row r="84" spans="1:17" x14ac:dyDescent="0.25">
      <c r="A84">
        <v>40.5</v>
      </c>
      <c r="B84" t="e">
        <f>HLOOKUP(TwoLevelVANCOMYCINcalc!$M$24,TLKworksheet!$C$1:$H$100,I84,FALSE)</f>
        <v>#DIV/0!</v>
      </c>
      <c r="C84" t="e">
        <f>$C$3+C83</f>
        <v>#DIV/0!</v>
      </c>
      <c r="D84" t="e">
        <f t="shared" si="15"/>
        <v>#DIV/0!</v>
      </c>
      <c r="E84" t="e">
        <f t="shared" si="13"/>
        <v>#DIV/0!</v>
      </c>
      <c r="F84" t="e">
        <f t="shared" si="11"/>
        <v>#DIV/0!</v>
      </c>
      <c r="G84" t="e">
        <f t="shared" si="14"/>
        <v>#DIV/0!</v>
      </c>
      <c r="H84" t="e">
        <f>$C$3*EXP(-$A$1*TLKworksheet!$A84)</f>
        <v>#DIV/0!</v>
      </c>
      <c r="I84">
        <v>84</v>
      </c>
      <c r="Q84" s="12" t="e">
        <f>VLOOKUP(P84,DLsheet!$I$15:$J$20,2,FALSE)</f>
        <v>#N/A</v>
      </c>
    </row>
    <row r="85" spans="1:17" x14ac:dyDescent="0.25">
      <c r="A85">
        <v>41</v>
      </c>
      <c r="B85" t="e">
        <f>HLOOKUP(TwoLevelVANCOMYCINcalc!$M$24,TLKworksheet!$C$1:$H$100,I85,FALSE)</f>
        <v>#DIV/0!</v>
      </c>
      <c r="C85" t="e">
        <f t="shared" ref="C85:C100" si="16">$C$84*EXP(-$A$1*(A85-40.5))</f>
        <v>#DIV/0!</v>
      </c>
      <c r="D85" t="e">
        <f t="shared" si="15"/>
        <v>#DIV/0!</v>
      </c>
      <c r="E85" t="e">
        <f t="shared" si="13"/>
        <v>#DIV/0!</v>
      </c>
      <c r="F85" t="e">
        <f t="shared" si="11"/>
        <v>#DIV/0!</v>
      </c>
      <c r="G85" t="e">
        <f t="shared" si="14"/>
        <v>#DIV/0!</v>
      </c>
      <c r="H85" t="e">
        <f>$C$3*EXP(-$A$1*TLKworksheet!$A85)</f>
        <v>#DIV/0!</v>
      </c>
      <c r="I85">
        <v>85</v>
      </c>
      <c r="Q85" s="12" t="e">
        <f>VLOOKUP(P85,DLsheet!$I$15:$J$20,2,FALSE)</f>
        <v>#N/A</v>
      </c>
    </row>
    <row r="86" spans="1:17" x14ac:dyDescent="0.25">
      <c r="A86">
        <v>41.5</v>
      </c>
      <c r="B86" t="e">
        <f>HLOOKUP(TwoLevelVANCOMYCINcalc!$M$24,TLKworksheet!$C$1:$H$100,I86,FALSE)</f>
        <v>#DIV/0!</v>
      </c>
      <c r="C86" t="e">
        <f t="shared" si="16"/>
        <v>#DIV/0!</v>
      </c>
      <c r="D86" t="e">
        <f t="shared" si="15"/>
        <v>#DIV/0!</v>
      </c>
      <c r="E86" t="e">
        <f t="shared" si="13"/>
        <v>#DIV/0!</v>
      </c>
      <c r="F86" t="e">
        <f t="shared" si="11"/>
        <v>#DIV/0!</v>
      </c>
      <c r="G86" t="e">
        <f t="shared" si="14"/>
        <v>#DIV/0!</v>
      </c>
      <c r="H86" t="e">
        <f>$C$3*EXP(-$A$1*TLKworksheet!$A86)</f>
        <v>#DIV/0!</v>
      </c>
      <c r="I86">
        <v>86</v>
      </c>
      <c r="Q86" s="12" t="e">
        <f>VLOOKUP(P86,DLsheet!$I$15:$J$20,2,FALSE)</f>
        <v>#N/A</v>
      </c>
    </row>
    <row r="87" spans="1:17" x14ac:dyDescent="0.25">
      <c r="A87">
        <v>42</v>
      </c>
      <c r="B87" t="e">
        <f>HLOOKUP(TwoLevelVANCOMYCINcalc!$M$24,TLKworksheet!$C$1:$H$100,I87,FALSE)</f>
        <v>#DIV/0!</v>
      </c>
      <c r="C87" t="e">
        <f t="shared" si="16"/>
        <v>#DIV/0!</v>
      </c>
      <c r="D87" t="e">
        <f t="shared" si="15"/>
        <v>#DIV/0!</v>
      </c>
      <c r="E87" t="e">
        <f t="shared" si="13"/>
        <v>#DIV/0!</v>
      </c>
      <c r="F87" t="e">
        <f t="shared" si="11"/>
        <v>#DIV/0!</v>
      </c>
      <c r="G87" t="e">
        <f t="shared" si="14"/>
        <v>#DIV/0!</v>
      </c>
      <c r="H87" t="e">
        <f>$C$3*EXP(-$A$1*TLKworksheet!$A87)</f>
        <v>#DIV/0!</v>
      </c>
      <c r="I87">
        <v>87</v>
      </c>
      <c r="Q87" s="12" t="e">
        <f>VLOOKUP(P87,DLsheet!$I$15:$J$20,2,FALSE)</f>
        <v>#N/A</v>
      </c>
    </row>
    <row r="88" spans="1:17" x14ac:dyDescent="0.25">
      <c r="A88">
        <v>42.5</v>
      </c>
      <c r="B88" t="e">
        <f>HLOOKUP(TwoLevelVANCOMYCINcalc!$M$24,TLKworksheet!$C$1:$H$100,I88,FALSE)</f>
        <v>#DIV/0!</v>
      </c>
      <c r="C88" t="e">
        <f t="shared" si="16"/>
        <v>#DIV/0!</v>
      </c>
      <c r="D88" t="e">
        <f t="shared" si="15"/>
        <v>#DIV/0!</v>
      </c>
      <c r="E88" t="e">
        <f t="shared" si="13"/>
        <v>#DIV/0!</v>
      </c>
      <c r="F88" t="e">
        <f t="shared" si="11"/>
        <v>#DIV/0!</v>
      </c>
      <c r="G88" t="e">
        <f t="shared" si="14"/>
        <v>#DIV/0!</v>
      </c>
      <c r="H88" t="e">
        <f>$C$3*EXP(-$A$1*TLKworksheet!$A88)</f>
        <v>#DIV/0!</v>
      </c>
      <c r="I88">
        <v>88</v>
      </c>
      <c r="Q88" s="12" t="e">
        <f>VLOOKUP(P88,DLsheet!$I$15:$J$20,2,FALSE)</f>
        <v>#N/A</v>
      </c>
    </row>
    <row r="89" spans="1:17" x14ac:dyDescent="0.25">
      <c r="A89">
        <v>43</v>
      </c>
      <c r="B89" t="e">
        <f>HLOOKUP(TwoLevelVANCOMYCINcalc!$M$24,TLKworksheet!$C$1:$H$100,I89,FALSE)</f>
        <v>#DIV/0!</v>
      </c>
      <c r="C89" t="e">
        <f t="shared" si="16"/>
        <v>#DIV/0!</v>
      </c>
      <c r="D89" t="e">
        <f t="shared" si="15"/>
        <v>#DIV/0!</v>
      </c>
      <c r="E89" t="e">
        <f t="shared" si="13"/>
        <v>#DIV/0!</v>
      </c>
      <c r="F89" t="e">
        <f t="shared" si="11"/>
        <v>#DIV/0!</v>
      </c>
      <c r="G89" t="e">
        <f t="shared" si="14"/>
        <v>#DIV/0!</v>
      </c>
      <c r="H89" t="e">
        <f>$C$3*EXP(-$A$1*TLKworksheet!$A89)</f>
        <v>#DIV/0!</v>
      </c>
      <c r="I89">
        <v>89</v>
      </c>
      <c r="Q89" s="12" t="e">
        <f>VLOOKUP(P89,DLsheet!$I$15:$J$20,2,FALSE)</f>
        <v>#N/A</v>
      </c>
    </row>
    <row r="90" spans="1:17" x14ac:dyDescent="0.25">
      <c r="A90">
        <v>43.5</v>
      </c>
      <c r="B90" t="e">
        <f>HLOOKUP(TwoLevelVANCOMYCINcalc!$M$24,TLKworksheet!$C$1:$H$100,I90,FALSE)</f>
        <v>#DIV/0!</v>
      </c>
      <c r="C90" t="e">
        <f t="shared" si="16"/>
        <v>#DIV/0!</v>
      </c>
      <c r="D90" t="e">
        <f t="shared" si="15"/>
        <v>#DIV/0!</v>
      </c>
      <c r="E90" t="e">
        <f t="shared" si="13"/>
        <v>#DIV/0!</v>
      </c>
      <c r="F90" t="e">
        <f t="shared" si="11"/>
        <v>#DIV/0!</v>
      </c>
      <c r="G90" t="e">
        <f t="shared" si="14"/>
        <v>#DIV/0!</v>
      </c>
      <c r="H90" t="e">
        <f>$C$3*EXP(-$A$1*TLKworksheet!$A90)</f>
        <v>#DIV/0!</v>
      </c>
      <c r="I90">
        <v>90</v>
      </c>
      <c r="Q90" s="12" t="e">
        <f>VLOOKUP(P90,DLsheet!$I$15:$J$20,2,FALSE)</f>
        <v>#N/A</v>
      </c>
    </row>
    <row r="91" spans="1:17" x14ac:dyDescent="0.25">
      <c r="A91">
        <v>44</v>
      </c>
      <c r="B91" t="e">
        <f>HLOOKUP(TwoLevelVANCOMYCINcalc!$M$24,TLKworksheet!$C$1:$H$100,I91,FALSE)</f>
        <v>#DIV/0!</v>
      </c>
      <c r="C91" t="e">
        <f t="shared" si="16"/>
        <v>#DIV/0!</v>
      </c>
      <c r="D91" t="e">
        <f t="shared" si="15"/>
        <v>#DIV/0!</v>
      </c>
      <c r="E91" t="e">
        <f t="shared" si="13"/>
        <v>#DIV/0!</v>
      </c>
      <c r="F91" t="e">
        <f t="shared" si="11"/>
        <v>#DIV/0!</v>
      </c>
      <c r="G91" t="e">
        <f t="shared" si="14"/>
        <v>#DIV/0!</v>
      </c>
      <c r="H91" t="e">
        <f>$C$3*EXP(-$A$1*TLKworksheet!$A91)</f>
        <v>#DIV/0!</v>
      </c>
      <c r="I91">
        <v>91</v>
      </c>
      <c r="Q91" s="12" t="e">
        <f>VLOOKUP(P91,DLsheet!$I$15:$J$20,2,FALSE)</f>
        <v>#N/A</v>
      </c>
    </row>
    <row r="92" spans="1:17" x14ac:dyDescent="0.25">
      <c r="A92">
        <v>44.5</v>
      </c>
      <c r="B92" t="e">
        <f>HLOOKUP(TwoLevelVANCOMYCINcalc!$M$24,TLKworksheet!$C$1:$H$100,I92,FALSE)</f>
        <v>#DIV/0!</v>
      </c>
      <c r="C92" t="e">
        <f t="shared" si="16"/>
        <v>#DIV/0!</v>
      </c>
      <c r="D92" t="e">
        <f t="shared" si="15"/>
        <v>#DIV/0!</v>
      </c>
      <c r="E92" t="e">
        <f t="shared" si="13"/>
        <v>#DIV/0!</v>
      </c>
      <c r="F92" t="e">
        <f t="shared" si="11"/>
        <v>#DIV/0!</v>
      </c>
      <c r="G92" t="e">
        <f t="shared" si="14"/>
        <v>#DIV/0!</v>
      </c>
      <c r="H92" t="e">
        <f>$C$3*EXP(-$A$1*TLKworksheet!$A92)</f>
        <v>#DIV/0!</v>
      </c>
      <c r="I92">
        <v>92</v>
      </c>
      <c r="Q92" s="12" t="e">
        <f>VLOOKUP(P92,DLsheet!$I$15:$J$20,2,FALSE)</f>
        <v>#N/A</v>
      </c>
    </row>
    <row r="93" spans="1:17" x14ac:dyDescent="0.25">
      <c r="A93">
        <v>45</v>
      </c>
      <c r="B93" t="e">
        <f>HLOOKUP(TwoLevelVANCOMYCINcalc!$M$24,TLKworksheet!$C$1:$H$100,I93,FALSE)</f>
        <v>#DIV/0!</v>
      </c>
      <c r="C93" t="e">
        <f t="shared" si="16"/>
        <v>#DIV/0!</v>
      </c>
      <c r="D93" t="e">
        <f t="shared" si="15"/>
        <v>#DIV/0!</v>
      </c>
      <c r="E93" t="e">
        <f t="shared" si="13"/>
        <v>#DIV/0!</v>
      </c>
      <c r="F93" t="e">
        <f t="shared" si="11"/>
        <v>#DIV/0!</v>
      </c>
      <c r="G93" t="e">
        <f t="shared" si="14"/>
        <v>#DIV/0!</v>
      </c>
      <c r="H93" t="e">
        <f>$C$3*EXP(-$A$1*TLKworksheet!$A93)</f>
        <v>#DIV/0!</v>
      </c>
      <c r="I93">
        <v>93</v>
      </c>
      <c r="Q93" s="12" t="e">
        <f>VLOOKUP(P93,DLsheet!$I$15:$J$20,2,FALSE)</f>
        <v>#N/A</v>
      </c>
    </row>
    <row r="94" spans="1:17" x14ac:dyDescent="0.25">
      <c r="A94">
        <v>45.5</v>
      </c>
      <c r="B94" t="e">
        <f>HLOOKUP(TwoLevelVANCOMYCINcalc!$M$24,TLKworksheet!$C$1:$H$100,I94,FALSE)</f>
        <v>#DIV/0!</v>
      </c>
      <c r="C94" t="e">
        <f t="shared" si="16"/>
        <v>#DIV/0!</v>
      </c>
      <c r="D94" t="e">
        <f t="shared" si="15"/>
        <v>#DIV/0!</v>
      </c>
      <c r="E94" t="e">
        <f t="shared" si="13"/>
        <v>#DIV/0!</v>
      </c>
      <c r="F94" t="e">
        <f t="shared" si="11"/>
        <v>#DIV/0!</v>
      </c>
      <c r="G94" t="e">
        <f t="shared" si="14"/>
        <v>#DIV/0!</v>
      </c>
      <c r="H94" t="e">
        <f>$C$3*EXP(-$A$1*TLKworksheet!$A94)</f>
        <v>#DIV/0!</v>
      </c>
      <c r="I94">
        <v>94</v>
      </c>
      <c r="Q94" s="12" t="e">
        <f>VLOOKUP(P94,DLsheet!$I$15:$J$20,2,FALSE)</f>
        <v>#N/A</v>
      </c>
    </row>
    <row r="95" spans="1:17" x14ac:dyDescent="0.25">
      <c r="A95">
        <v>46</v>
      </c>
      <c r="B95" t="e">
        <f>HLOOKUP(TwoLevelVANCOMYCINcalc!$M$24,TLKworksheet!$C$1:$H$100,I95,FALSE)</f>
        <v>#DIV/0!</v>
      </c>
      <c r="C95" t="e">
        <f t="shared" si="16"/>
        <v>#DIV/0!</v>
      </c>
      <c r="D95" t="e">
        <f t="shared" si="15"/>
        <v>#DIV/0!</v>
      </c>
      <c r="E95" t="e">
        <f t="shared" si="13"/>
        <v>#DIV/0!</v>
      </c>
      <c r="F95" t="e">
        <f t="shared" si="11"/>
        <v>#DIV/0!</v>
      </c>
      <c r="G95" t="e">
        <f t="shared" si="14"/>
        <v>#DIV/0!</v>
      </c>
      <c r="H95" t="e">
        <f>$C$3*EXP(-$A$1*TLKworksheet!$A95)</f>
        <v>#DIV/0!</v>
      </c>
      <c r="I95">
        <v>95</v>
      </c>
      <c r="Q95" s="12" t="e">
        <f>VLOOKUP(P95,DLsheet!$I$15:$J$20,2,FALSE)</f>
        <v>#N/A</v>
      </c>
    </row>
    <row r="96" spans="1:17" x14ac:dyDescent="0.25">
      <c r="A96">
        <v>46.5</v>
      </c>
      <c r="B96" t="e">
        <f>HLOOKUP(TwoLevelVANCOMYCINcalc!$M$24,TLKworksheet!$C$1:$H$100,I96,FALSE)</f>
        <v>#DIV/0!</v>
      </c>
      <c r="C96" t="e">
        <f t="shared" si="16"/>
        <v>#DIV/0!</v>
      </c>
      <c r="D96" t="e">
        <f t="shared" si="15"/>
        <v>#DIV/0!</v>
      </c>
      <c r="E96" t="e">
        <f t="shared" si="13"/>
        <v>#DIV/0!</v>
      </c>
      <c r="F96" t="e">
        <f t="shared" si="11"/>
        <v>#DIV/0!</v>
      </c>
      <c r="G96" t="e">
        <f t="shared" si="14"/>
        <v>#DIV/0!</v>
      </c>
      <c r="H96" t="e">
        <f>$C$3*EXP(-$A$1*TLKworksheet!$A96)</f>
        <v>#DIV/0!</v>
      </c>
      <c r="I96">
        <v>96</v>
      </c>
      <c r="Q96" s="12" t="e">
        <f>VLOOKUP(P96,DLsheet!$I$15:$J$20,2,FALSE)</f>
        <v>#N/A</v>
      </c>
    </row>
    <row r="97" spans="1:17" x14ac:dyDescent="0.25">
      <c r="A97">
        <v>47</v>
      </c>
      <c r="B97" t="e">
        <f>HLOOKUP(TwoLevelVANCOMYCINcalc!$M$24,TLKworksheet!$C$1:$H$100,I97,FALSE)</f>
        <v>#DIV/0!</v>
      </c>
      <c r="C97" t="e">
        <f t="shared" si="16"/>
        <v>#DIV/0!</v>
      </c>
      <c r="D97" t="e">
        <f t="shared" si="15"/>
        <v>#DIV/0!</v>
      </c>
      <c r="E97" t="e">
        <f t="shared" si="13"/>
        <v>#DIV/0!</v>
      </c>
      <c r="F97" t="e">
        <f t="shared" si="11"/>
        <v>#DIV/0!</v>
      </c>
      <c r="G97" t="e">
        <f t="shared" si="14"/>
        <v>#DIV/0!</v>
      </c>
      <c r="H97" t="e">
        <f>$C$3*EXP(-$A$1*TLKworksheet!$A97)</f>
        <v>#DIV/0!</v>
      </c>
      <c r="I97">
        <v>97</v>
      </c>
      <c r="Q97" s="12" t="e">
        <f>VLOOKUP(P97,DLsheet!$I$15:$J$20,2,FALSE)</f>
        <v>#N/A</v>
      </c>
    </row>
    <row r="98" spans="1:17" x14ac:dyDescent="0.25">
      <c r="A98">
        <v>47.5</v>
      </c>
      <c r="B98" t="e">
        <f>HLOOKUP(TwoLevelVANCOMYCINcalc!$M$24,TLKworksheet!$C$1:$H$100,I98,FALSE)</f>
        <v>#DIV/0!</v>
      </c>
      <c r="C98" t="e">
        <f t="shared" si="16"/>
        <v>#DIV/0!</v>
      </c>
      <c r="D98" t="e">
        <f t="shared" si="15"/>
        <v>#DIV/0!</v>
      </c>
      <c r="E98" t="e">
        <f t="shared" si="13"/>
        <v>#DIV/0!</v>
      </c>
      <c r="F98" t="e">
        <f t="shared" si="11"/>
        <v>#DIV/0!</v>
      </c>
      <c r="G98" t="e">
        <f t="shared" si="14"/>
        <v>#DIV/0!</v>
      </c>
      <c r="H98" t="e">
        <f>$C$3*EXP(-$A$1*TLKworksheet!$A98)</f>
        <v>#DIV/0!</v>
      </c>
      <c r="I98">
        <v>98</v>
      </c>
      <c r="Q98" s="12" t="e">
        <f>VLOOKUP(P98,DLsheet!$I$15:$J$20,2,FALSE)</f>
        <v>#N/A</v>
      </c>
    </row>
    <row r="99" spans="1:17" x14ac:dyDescent="0.25">
      <c r="A99">
        <v>48</v>
      </c>
      <c r="C99" t="e">
        <f t="shared" si="16"/>
        <v>#DIV/0!</v>
      </c>
      <c r="D99" t="e">
        <f t="shared" si="15"/>
        <v>#DIV/0!</v>
      </c>
      <c r="E99" t="e">
        <f t="shared" si="13"/>
        <v>#DIV/0!</v>
      </c>
      <c r="F99" t="e">
        <f t="shared" si="11"/>
        <v>#DIV/0!</v>
      </c>
      <c r="G99" t="e">
        <f t="shared" si="14"/>
        <v>#DIV/0!</v>
      </c>
      <c r="H99" t="e">
        <f>$C$3*EXP(-$A$1*TLKworksheet!$A99)</f>
        <v>#DIV/0!</v>
      </c>
      <c r="I99">
        <v>99</v>
      </c>
      <c r="Q99" s="12" t="e">
        <f>VLOOKUP(P99,DLsheet!$I$15:$J$20,2,FALSE)</f>
        <v>#N/A</v>
      </c>
    </row>
    <row r="100" spans="1:17" x14ac:dyDescent="0.25">
      <c r="A100">
        <v>48.5</v>
      </c>
      <c r="C100" t="e">
        <f t="shared" si="16"/>
        <v>#DIV/0!</v>
      </c>
      <c r="D100" t="e">
        <f>D99+D3</f>
        <v>#DIV/0!</v>
      </c>
      <c r="E100" t="e">
        <f t="shared" si="13"/>
        <v>#DIV/0!</v>
      </c>
      <c r="F100" t="e">
        <f>F99+F3</f>
        <v>#DIV/0!</v>
      </c>
      <c r="G100" t="e">
        <f t="shared" si="14"/>
        <v>#DIV/0!</v>
      </c>
      <c r="H100" t="e">
        <f>$C$3*EXP(-$A$1*TLKworksheet!$A100)</f>
        <v>#DIV/0!</v>
      </c>
      <c r="I100">
        <v>100</v>
      </c>
      <c r="Q100" s="12" t="e">
        <f>VLOOKUP(P100,DLsheet!$I$15:$J$20,2,FALSE)</f>
        <v>#N/A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1ECA-85A4-4A90-858C-F87B468AACAF}">
  <sheetPr codeName="Sheet6"/>
  <dimension ref="A1:AF43"/>
  <sheetViews>
    <sheetView workbookViewId="0"/>
  </sheetViews>
  <sheetFormatPr defaultRowHeight="15.75" x14ac:dyDescent="0.25"/>
  <cols>
    <col min="1" max="2" width="9.140625" style="3"/>
    <col min="3" max="3" width="10.7109375" style="3" customWidth="1"/>
    <col min="4" max="16384" width="9.140625" style="3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customHeight="1" x14ac:dyDescent="0.25">
      <c r="A5" s="2"/>
      <c r="B5" s="2"/>
      <c r="C5" s="2"/>
      <c r="D5" s="2"/>
      <c r="E5" s="2"/>
      <c r="F5" s="2"/>
      <c r="G5" s="85" t="s">
        <v>154</v>
      </c>
      <c r="H5" s="85"/>
      <c r="I5" s="85"/>
      <c r="J5" s="85"/>
      <c r="K5" s="85"/>
      <c r="L5" s="85"/>
      <c r="M5" s="85"/>
      <c r="N5" s="2"/>
      <c r="O5" s="2"/>
      <c r="P5" s="2"/>
      <c r="Q5" s="2"/>
      <c r="R5" s="85" t="s">
        <v>169</v>
      </c>
      <c r="S5" s="85"/>
      <c r="T5" s="85"/>
      <c r="U5" s="85"/>
      <c r="V5" s="85"/>
      <c r="W5" s="85"/>
      <c r="X5" s="85"/>
      <c r="Y5" s="2"/>
      <c r="Z5" s="2"/>
      <c r="AA5" s="2"/>
      <c r="AB5" s="2"/>
      <c r="AC5" s="2"/>
      <c r="AD5" s="2"/>
      <c r="AE5" s="2"/>
    </row>
    <row r="6" spans="1:31" ht="15" customHeight="1" x14ac:dyDescent="0.25">
      <c r="A6" s="2"/>
      <c r="B6" s="2"/>
      <c r="C6" s="2"/>
      <c r="D6" s="2"/>
      <c r="E6" s="2"/>
      <c r="F6" s="2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85"/>
      <c r="S6" s="85"/>
      <c r="T6" s="85"/>
      <c r="U6" s="85"/>
      <c r="V6" s="85"/>
      <c r="W6" s="85"/>
      <c r="X6" s="85"/>
      <c r="Y6" s="2"/>
      <c r="Z6" s="2"/>
      <c r="AA6" s="2"/>
      <c r="AB6" s="2"/>
      <c r="AC6" s="2"/>
      <c r="AD6" s="2"/>
      <c r="AE6" s="2"/>
    </row>
    <row r="7" spans="1:3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1" x14ac:dyDescent="0.35">
      <c r="A9" s="2"/>
      <c r="B9" s="71" t="s">
        <v>4</v>
      </c>
      <c r="C9" s="71"/>
      <c r="D9" s="71"/>
      <c r="E9" s="71"/>
      <c r="F9" s="71"/>
      <c r="G9" s="71"/>
      <c r="H9" s="71"/>
      <c r="I9" s="2"/>
      <c r="J9" s="2"/>
      <c r="K9" s="2"/>
      <c r="L9" s="2"/>
      <c r="M9" s="2"/>
      <c r="N9" s="2"/>
      <c r="O9" s="2"/>
      <c r="P9" s="71" t="s">
        <v>32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2"/>
      <c r="AB9" s="2"/>
      <c r="AC9" s="2"/>
      <c r="AD9" s="2"/>
      <c r="AE9" s="2"/>
    </row>
    <row r="10" spans="1:31" x14ac:dyDescent="0.25">
      <c r="A10" s="2"/>
      <c r="B10" s="2" t="s">
        <v>5</v>
      </c>
      <c r="C10" s="2"/>
      <c r="D10" s="2"/>
      <c r="E10" s="99">
        <v>85</v>
      </c>
      <c r="F10" s="99"/>
      <c r="G10" s="2" t="s">
        <v>15</v>
      </c>
      <c r="H10" s="2"/>
      <c r="I10" s="2"/>
      <c r="J10" s="2"/>
      <c r="K10" s="2"/>
      <c r="L10" s="2"/>
      <c r="M10" s="2"/>
      <c r="N10" s="2"/>
      <c r="O10" s="2"/>
      <c r="P10" s="78"/>
      <c r="Q10" s="78"/>
      <c r="R10" s="78"/>
      <c r="S10" s="78"/>
      <c r="T10" s="100"/>
      <c r="U10" s="100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/>
      <c r="B11" s="2" t="s">
        <v>6</v>
      </c>
      <c r="C11" s="2"/>
      <c r="D11" s="2"/>
      <c r="E11" s="99" t="s">
        <v>19</v>
      </c>
      <c r="F11" s="99"/>
      <c r="G11" s="2"/>
      <c r="H11" s="2"/>
      <c r="I11" s="2"/>
      <c r="J11" s="2"/>
      <c r="K11" s="2"/>
      <c r="L11" s="2"/>
      <c r="M11" s="2"/>
      <c r="N11" s="2"/>
      <c r="O11" s="2"/>
      <c r="P11" s="78" t="s">
        <v>34</v>
      </c>
      <c r="Q11" s="78"/>
      <c r="R11" s="78"/>
      <c r="S11" s="78"/>
      <c r="T11" s="101">
        <f>IF(G21="","",VLOOKUP(I21,DLsheet!M112:O117,2,FALSE))</f>
        <v>20</v>
      </c>
      <c r="U11" s="101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2" t="s">
        <v>7</v>
      </c>
      <c r="C12" s="2"/>
      <c r="D12" s="2"/>
      <c r="E12" s="99">
        <v>1.2</v>
      </c>
      <c r="F12" s="99"/>
      <c r="G12" s="2" t="s">
        <v>16</v>
      </c>
      <c r="H12" s="2"/>
      <c r="I12" s="2"/>
      <c r="J12" s="2"/>
      <c r="K12" s="2"/>
      <c r="L12" s="2"/>
      <c r="M12" s="2"/>
      <c r="N12" s="2"/>
      <c r="O12" s="2"/>
      <c r="P12" s="78" t="s">
        <v>35</v>
      </c>
      <c r="Q12" s="78"/>
      <c r="R12" s="78"/>
      <c r="S12" s="78"/>
      <c r="T12" s="101">
        <f>IF(G21="","",VLOOKUP(I21,DLsheet!M112:O117,3,FALSE))</f>
        <v>0.25</v>
      </c>
      <c r="U12" s="101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/>
      <c r="B13" s="2" t="s">
        <v>8</v>
      </c>
      <c r="C13" s="2"/>
      <c r="D13" s="2"/>
      <c r="E13" s="99">
        <v>165</v>
      </c>
      <c r="F13" s="99"/>
      <c r="G13" s="101" t="s">
        <v>23</v>
      </c>
      <c r="H13" s="101"/>
      <c r="I13" s="9">
        <f>IF(G13="inches",E13,E13/2.54)</f>
        <v>64.960629921259837</v>
      </c>
      <c r="J13" s="9">
        <f>I13*2.54</f>
        <v>165</v>
      </c>
      <c r="K13" s="2"/>
      <c r="L13" s="2"/>
      <c r="M13" s="2"/>
      <c r="N13" s="2"/>
      <c r="O13" s="2"/>
      <c r="P13" s="78" t="s">
        <v>38</v>
      </c>
      <c r="Q13" s="78"/>
      <c r="R13" s="78"/>
      <c r="S13" s="78"/>
      <c r="T13" s="101">
        <v>0.3</v>
      </c>
      <c r="U13" s="101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 t="s">
        <v>62</v>
      </c>
      <c r="C14" s="2"/>
      <c r="D14" s="15" t="s">
        <v>48</v>
      </c>
      <c r="E14" s="99">
        <v>106</v>
      </c>
      <c r="F14" s="99"/>
      <c r="G14" s="101" t="s">
        <v>17</v>
      </c>
      <c r="H14" s="101"/>
      <c r="I14" s="9">
        <f>IF(G14="kg",E14,E14/2.2)</f>
        <v>106</v>
      </c>
      <c r="J14" s="9"/>
      <c r="K14" s="2"/>
      <c r="L14" s="2"/>
      <c r="M14" s="2"/>
      <c r="N14" s="2"/>
      <c r="O14" s="2"/>
      <c r="P14" s="78" t="s">
        <v>37</v>
      </c>
      <c r="Q14" s="78"/>
      <c r="R14" s="78"/>
      <c r="S14" s="78"/>
      <c r="T14" s="101" t="s">
        <v>48</v>
      </c>
      <c r="U14" s="101"/>
      <c r="V14" s="8">
        <f>IF(T15&gt;0,T15,IF(T14&lt;1,"",VLOOKUP(T14,D14:F21,2,FALSE)))</f>
        <v>106</v>
      </c>
      <c r="W14" s="15" t="str">
        <f>IF(ISERROR(I15&gt;DLsheet!H7*EmpiricAMGcalc!E17),"TBW",IF(EmpiricAMGcalc!I15&gt;DLsheet!H7*EmpiricAMGcalc!E17,"AdjBW","TBW"))</f>
        <v>AdjBW</v>
      </c>
      <c r="X14" s="2" t="s">
        <v>44</v>
      </c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2"/>
      <c r="D15" s="15" t="s">
        <v>10</v>
      </c>
      <c r="E15" s="84">
        <f>IF(E14&lt;1,"",IF(I14&gt;DLsheet!H6*EmpiricAMGcalc!E16,EmpiricAMGcalc!E16+DLsheet!H7*(EmpiricAMGcalc!E14-EmpiricAMGcalc!E16),""))</f>
        <v>79.245669291338572</v>
      </c>
      <c r="F15" s="84"/>
      <c r="G15" s="2" t="s">
        <v>17</v>
      </c>
      <c r="H15" s="2"/>
      <c r="I15" s="16" t="str">
        <f>_xlfn.CONCAT("IBW + ",DLsheet!H7,"* (TBW - IBW) If TBW more than ",DLsheet!G6*100,"% overweight")</f>
        <v>IBW + 0.4* (TBW - IBW) If TBW more than 30% overweight</v>
      </c>
      <c r="J15" s="2"/>
      <c r="K15" s="2"/>
      <c r="L15" s="2"/>
      <c r="M15" s="2"/>
      <c r="N15" s="2"/>
      <c r="O15" s="2"/>
      <c r="P15" s="78" t="s">
        <v>41</v>
      </c>
      <c r="Q15" s="78"/>
      <c r="R15" s="78"/>
      <c r="S15" s="78"/>
      <c r="T15" s="105"/>
      <c r="U15" s="105"/>
      <c r="V15" s="2"/>
      <c r="W15" s="2" t="s">
        <v>17</v>
      </c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2"/>
      <c r="C16" s="2"/>
      <c r="D16" s="15" t="s">
        <v>9</v>
      </c>
      <c r="E16" s="84">
        <f>IF(E14&lt;1,"",IF(E11="Male",50+2.3*(I13-60),45.5+2.3*(I13-60)))</f>
        <v>61.409448818897623</v>
      </c>
      <c r="F16" s="84"/>
      <c r="G16" s="2" t="s">
        <v>17</v>
      </c>
      <c r="H16" s="2"/>
      <c r="I16" s="16" t="s">
        <v>30</v>
      </c>
      <c r="J16" s="2"/>
      <c r="K16" s="2"/>
      <c r="L16" s="2"/>
      <c r="M16" s="2"/>
      <c r="N16" s="2"/>
      <c r="O16" s="2"/>
      <c r="P16" s="78" t="s">
        <v>39</v>
      </c>
      <c r="Q16" s="78"/>
      <c r="R16" s="78"/>
      <c r="S16" s="78"/>
      <c r="T16" s="106" t="s">
        <v>145</v>
      </c>
      <c r="U16" s="106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2" x14ac:dyDescent="0.25">
      <c r="A17" s="2"/>
      <c r="B17" s="2"/>
      <c r="C17" s="2"/>
      <c r="D17" s="15" t="s">
        <v>11</v>
      </c>
      <c r="E17" s="84">
        <f>IF(E14&lt;1,"",IF(E11="Male",L17,M17))</f>
        <v>63.773259871441702</v>
      </c>
      <c r="F17" s="84"/>
      <c r="G17" s="2" t="s">
        <v>17</v>
      </c>
      <c r="H17" s="2"/>
      <c r="I17" s="16" t="s">
        <v>31</v>
      </c>
      <c r="J17" s="2"/>
      <c r="K17" s="2"/>
      <c r="L17" s="9">
        <f>1.1*I14-128*I14*I14/J13/J13</f>
        <v>63.773259871441702</v>
      </c>
      <c r="M17" s="9">
        <f>1.07*I14-148*I14*I14/J13/J13</f>
        <v>52.339081726354458</v>
      </c>
      <c r="N17" s="2"/>
      <c r="O17" s="2"/>
      <c r="P17" s="78" t="s">
        <v>36</v>
      </c>
      <c r="Q17" s="78"/>
      <c r="R17" s="78"/>
      <c r="S17" s="78"/>
      <c r="T17" s="101" t="s">
        <v>13</v>
      </c>
      <c r="U17" s="101"/>
      <c r="V17" s="8">
        <f>IF(T18&gt;0,T18,IF(T17&lt;1,"",VLOOKUP(T17,D14:F20,2,FALSE)))</f>
        <v>50.44573855351414</v>
      </c>
      <c r="W17" s="15" t="str">
        <f>IF(ISERROR(I14&gt;DLsheet!H6*EmpiricAMGcalc!E16),"TBW",IF(EmpiricAMGcalc!I14&gt;DLsheet!H6*EmpiricAMGcalc!E16,"AdjBW","TBW"))</f>
        <v>AdjBW</v>
      </c>
      <c r="X17" s="2" t="s">
        <v>44</v>
      </c>
      <c r="Y17" s="2"/>
      <c r="Z17" s="2"/>
      <c r="AA17" s="2"/>
      <c r="AB17" s="2"/>
      <c r="AC17" s="2"/>
      <c r="AD17" s="2"/>
      <c r="AE17" s="2"/>
    </row>
    <row r="18" spans="1:32" x14ac:dyDescent="0.25">
      <c r="A18" s="2"/>
      <c r="B18" s="2"/>
      <c r="C18" s="2"/>
      <c r="D18" s="15" t="s">
        <v>12</v>
      </c>
      <c r="E18" s="82">
        <f>IF(E14&lt;1,"",IF(E11="Male",(140-E10)*E14/72/E12,0.85*(140-E10)*E14/72/E12))</f>
        <v>67.476851851851862</v>
      </c>
      <c r="F18" s="82"/>
      <c r="G18" s="2" t="s">
        <v>18</v>
      </c>
      <c r="H18" s="2"/>
      <c r="I18" s="16" t="s">
        <v>58</v>
      </c>
      <c r="J18" s="2"/>
      <c r="K18" s="2"/>
      <c r="L18" s="2"/>
      <c r="M18" s="2"/>
      <c r="N18" s="2"/>
      <c r="O18" s="2"/>
      <c r="P18" s="78" t="s">
        <v>40</v>
      </c>
      <c r="Q18" s="78"/>
      <c r="R18" s="78"/>
      <c r="S18" s="78"/>
      <c r="T18" s="104"/>
      <c r="U18" s="104"/>
      <c r="V18" s="2"/>
      <c r="W18" s="2" t="s">
        <v>18</v>
      </c>
      <c r="X18" s="2"/>
      <c r="Y18" s="2"/>
      <c r="Z18" s="2"/>
      <c r="AA18" s="2"/>
      <c r="AB18" s="2"/>
      <c r="AC18" s="2"/>
      <c r="AD18" s="2"/>
      <c r="AE18" s="2"/>
    </row>
    <row r="19" spans="1:32" x14ac:dyDescent="0.25">
      <c r="A19" s="2"/>
      <c r="B19" s="2"/>
      <c r="C19" s="2"/>
      <c r="D19" s="15" t="s">
        <v>13</v>
      </c>
      <c r="E19" s="82">
        <f>IF(E14&lt;1,"",IF(E11="Male",(140-E10)*E15/72/E12,0.85*(140-E10)*E15/72/E12))</f>
        <v>50.44573855351414</v>
      </c>
      <c r="F19" s="82"/>
      <c r="G19" s="2" t="s">
        <v>18</v>
      </c>
      <c r="H19" s="2"/>
      <c r="I19" s="16" t="s">
        <v>59</v>
      </c>
      <c r="J19" s="2"/>
      <c r="K19" s="2"/>
      <c r="L19" s="2"/>
      <c r="M19" s="2"/>
      <c r="N19" s="2"/>
      <c r="O19" s="2"/>
      <c r="P19" s="78" t="s">
        <v>42</v>
      </c>
      <c r="Q19" s="78"/>
      <c r="R19" s="78"/>
      <c r="S19" s="78"/>
      <c r="T19" s="101">
        <v>0.5</v>
      </c>
      <c r="U19" s="101"/>
      <c r="V19" s="2"/>
      <c r="W19" s="2" t="s">
        <v>46</v>
      </c>
      <c r="X19" s="2"/>
      <c r="Y19" s="2"/>
      <c r="Z19" s="2"/>
      <c r="AA19" s="2"/>
      <c r="AB19" s="2"/>
      <c r="AC19" s="2"/>
      <c r="AD19" s="2"/>
      <c r="AE19" s="2"/>
    </row>
    <row r="20" spans="1:32" x14ac:dyDescent="0.25">
      <c r="A20" s="2"/>
      <c r="B20" s="2"/>
      <c r="C20" s="2"/>
      <c r="D20" s="15" t="s">
        <v>14</v>
      </c>
      <c r="E20" s="82">
        <f>IF(E14&lt;1,"",IF(E11="Male",(140-E10)*E16/72/E12,0.85*(140-E10)*E16/72/E12))</f>
        <v>39.091663021288994</v>
      </c>
      <c r="F20" s="82"/>
      <c r="G20" s="2" t="s">
        <v>18</v>
      </c>
      <c r="H20" s="2"/>
      <c r="I20" s="16" t="s">
        <v>60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2" x14ac:dyDescent="0.25">
      <c r="A21" s="2"/>
      <c r="B21" s="2" t="s">
        <v>146</v>
      </c>
      <c r="C21" s="2"/>
      <c r="D21" s="2"/>
      <c r="E21" s="101" t="s">
        <v>151</v>
      </c>
      <c r="F21" s="101"/>
      <c r="G21" s="101" t="s">
        <v>149</v>
      </c>
      <c r="H21" s="101"/>
      <c r="I21" s="9" t="str">
        <f>_xlfn.CONCAT(E21,G21)</f>
        <v>Gent/TobraGram Negative Infections</v>
      </c>
      <c r="J21" s="2"/>
      <c r="K21" s="23"/>
      <c r="L21" s="11"/>
      <c r="M21" s="11"/>
      <c r="N21" s="2"/>
      <c r="O21" s="2"/>
      <c r="P21" s="2"/>
      <c r="Q21" s="2"/>
      <c r="R21" s="2"/>
      <c r="S21" s="70"/>
      <c r="T21" s="70"/>
      <c r="U21" s="70"/>
      <c r="V21" s="70"/>
      <c r="W21" s="70"/>
      <c r="X21" s="70"/>
      <c r="Y21" s="70"/>
      <c r="Z21" s="70"/>
      <c r="AA21" s="2"/>
      <c r="AB21" s="2"/>
      <c r="AC21" s="2"/>
      <c r="AD21" s="2"/>
      <c r="AE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0" t="s">
        <v>145</v>
      </c>
      <c r="L22" s="9">
        <f>V17*0.003+0.01</f>
        <v>0.16133721566054243</v>
      </c>
      <c r="M22" s="11"/>
      <c r="N22" s="2"/>
      <c r="O22" s="2"/>
      <c r="P22" s="2"/>
      <c r="Q22" s="2"/>
      <c r="R22" s="2"/>
      <c r="S22" s="70"/>
      <c r="T22" s="70"/>
      <c r="U22" s="70"/>
      <c r="V22" s="70"/>
      <c r="W22" s="70"/>
      <c r="X22" s="70"/>
      <c r="Y22" s="70"/>
      <c r="Z22" s="70"/>
      <c r="AA22" s="2"/>
      <c r="AB22" s="2"/>
      <c r="AC22" s="2"/>
      <c r="AD22" s="2"/>
      <c r="AE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0" t="s">
        <v>53</v>
      </c>
      <c r="L23" s="9">
        <f>V17/J25*60/1000</f>
        <v>9.5180638780215363E-2</v>
      </c>
      <c r="M23" s="11"/>
      <c r="N23" s="2"/>
      <c r="O23" s="2"/>
      <c r="P23" s="2"/>
      <c r="Q23" s="2"/>
      <c r="R23" s="2"/>
      <c r="S23" s="70"/>
      <c r="T23" s="70"/>
      <c r="U23" s="70"/>
      <c r="V23" s="70"/>
      <c r="W23" s="70"/>
      <c r="X23" s="70"/>
      <c r="Y23" s="70"/>
      <c r="Z23" s="70"/>
      <c r="AA23" s="2"/>
      <c r="AB23" s="2"/>
      <c r="AC23" s="2"/>
      <c r="AD23" s="2"/>
      <c r="AE23" s="2"/>
    </row>
    <row r="24" spans="1:32" ht="21" x14ac:dyDescent="0.35">
      <c r="A24" s="2"/>
      <c r="B24" s="2"/>
      <c r="C24" s="2"/>
      <c r="D24" s="2"/>
      <c r="E24" s="2"/>
      <c r="F24" s="2"/>
      <c r="G24" s="71" t="s">
        <v>99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1"/>
      <c r="S24" s="2"/>
      <c r="T24" s="2"/>
      <c r="U24" s="11"/>
      <c r="V24" s="11"/>
      <c r="W24" s="11"/>
      <c r="X24" s="11"/>
      <c r="Y24" s="2"/>
      <c r="Z24" s="2"/>
      <c r="AA24" s="2"/>
      <c r="AB24" s="2"/>
      <c r="AC24" s="2"/>
      <c r="AD24" s="2"/>
      <c r="AE24" s="2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15" t="s">
        <v>64</v>
      </c>
      <c r="J25" s="102">
        <f>IF(E14&lt;1,"",T13*V14)</f>
        <v>31.799999999999997</v>
      </c>
      <c r="K25" s="102"/>
      <c r="L25" s="102"/>
      <c r="M25" s="2" t="s">
        <v>66</v>
      </c>
      <c r="N25" s="16" t="str">
        <f>_xlfn.CONCAT(ROUND(V14,1),"kg * ",T13," L/kg")</f>
        <v>106kg * 0.3 L/kg</v>
      </c>
      <c r="O25" s="2"/>
      <c r="P25" s="2"/>
      <c r="Q25" s="2"/>
      <c r="R25" s="2"/>
      <c r="S25" s="11"/>
      <c r="T25" s="2"/>
      <c r="U25" s="2"/>
      <c r="V25" s="11"/>
      <c r="W25" s="11"/>
      <c r="X25" s="11"/>
      <c r="Y25" s="11"/>
      <c r="Z25" s="2"/>
      <c r="AA25" s="2"/>
      <c r="AB25" s="2"/>
      <c r="AC25" s="2"/>
      <c r="AD25" s="2"/>
      <c r="AE25" s="2"/>
      <c r="AF25" s="2"/>
    </row>
    <row r="26" spans="1:32" ht="18" x14ac:dyDescent="0.25">
      <c r="A26" s="2"/>
      <c r="B26" s="2"/>
      <c r="C26" s="2"/>
      <c r="D26" s="2"/>
      <c r="E26" s="2"/>
      <c r="F26" s="2"/>
      <c r="G26" s="2"/>
      <c r="H26" s="2"/>
      <c r="I26" s="15" t="s">
        <v>65</v>
      </c>
      <c r="J26" s="103">
        <f>IF(E14&lt;1,"",VLOOKUP(T16,K22:L23,2,FALSE))</f>
        <v>0.16133721566054243</v>
      </c>
      <c r="K26" s="103"/>
      <c r="L26" s="103"/>
      <c r="M26" s="2" t="s">
        <v>67</v>
      </c>
      <c r="N26" s="16" t="str">
        <f>_xlfn.CONCAT("CrCl = ",ROUND(V17,1),"  Ke equation = ",T16)</f>
        <v>CrCl = 50.4  Ke equation = 0.003*CrCl + 0.01</v>
      </c>
      <c r="O26" s="2"/>
      <c r="P26" s="2"/>
      <c r="Q26" s="2"/>
      <c r="R26" s="2"/>
      <c r="S26" s="11"/>
      <c r="T26" s="2"/>
      <c r="U26" s="2"/>
      <c r="V26" s="11"/>
      <c r="W26" s="11"/>
      <c r="X26" s="11"/>
      <c r="Y26" s="11"/>
      <c r="Z26" s="2"/>
      <c r="AA26" s="2"/>
      <c r="AB26" s="2"/>
      <c r="AC26" s="2"/>
      <c r="AD26" s="2"/>
      <c r="AE26" s="2"/>
      <c r="AF26" s="2"/>
    </row>
    <row r="27" spans="1:32" ht="19.5" x14ac:dyDescent="0.35">
      <c r="A27" s="2"/>
      <c r="B27" s="2"/>
      <c r="C27" s="2"/>
      <c r="D27" s="2"/>
      <c r="E27" s="2"/>
      <c r="F27" s="2"/>
      <c r="G27" s="2"/>
      <c r="H27" s="2"/>
      <c r="I27" s="15" t="s">
        <v>68</v>
      </c>
      <c r="J27" s="102">
        <f>IF(E14&lt;1,"",ROUND(0.693/J26,1))</f>
        <v>4.3</v>
      </c>
      <c r="K27" s="102"/>
      <c r="L27" s="102"/>
      <c r="M27" s="2" t="s">
        <v>46</v>
      </c>
      <c r="N27" s="16" t="str">
        <f>_xlfn.CONCAT("ln(2)/", ROUND(J26,3))</f>
        <v>ln(2)/0.161</v>
      </c>
      <c r="O27" s="2"/>
      <c r="P27" s="2"/>
      <c r="Q27" s="2"/>
      <c r="R27" s="2"/>
      <c r="S27" s="11"/>
      <c r="T27" s="11"/>
      <c r="U27" s="11"/>
      <c r="V27" s="11"/>
      <c r="W27" s="11"/>
      <c r="X27" s="11"/>
      <c r="Y27" s="11"/>
      <c r="Z27" s="2"/>
      <c r="AA27" s="2"/>
      <c r="AB27" s="2"/>
      <c r="AC27" s="2"/>
      <c r="AD27" s="2"/>
      <c r="AE27" s="2"/>
      <c r="AF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15" t="s">
        <v>71</v>
      </c>
      <c r="J28" s="102">
        <f>IF(E14&lt;1,"",(T11-T12)*J25)</f>
        <v>628.04999999999995</v>
      </c>
      <c r="K28" s="102"/>
      <c r="L28" s="102"/>
      <c r="M28" s="2" t="s">
        <v>70</v>
      </c>
      <c r="N28" s="16" t="s">
        <v>161</v>
      </c>
      <c r="O28" s="2"/>
      <c r="P28" s="2"/>
      <c r="Q28" s="2"/>
      <c r="R28" s="2"/>
      <c r="S28" s="11"/>
      <c r="T28" s="11"/>
      <c r="U28" s="11"/>
      <c r="V28" s="11"/>
      <c r="W28" s="11"/>
      <c r="X28" s="11"/>
      <c r="Y28" s="11"/>
      <c r="Z28" s="2"/>
      <c r="AA28" s="2"/>
      <c r="AB28" s="2"/>
      <c r="AC28" s="2"/>
      <c r="AD28" s="2"/>
      <c r="AE28" s="2"/>
      <c r="AF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15" t="s">
        <v>72</v>
      </c>
      <c r="J29" s="102">
        <f>IF(E14&lt;1,"",(LN(T12/T11)/-J26)+T19)</f>
        <v>27.660668521104117</v>
      </c>
      <c r="K29" s="102"/>
      <c r="L29" s="102"/>
      <c r="M29" s="2" t="s">
        <v>46</v>
      </c>
      <c r="N29" s="16" t="s">
        <v>73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18.75" x14ac:dyDescent="0.3">
      <c r="A31" s="2"/>
      <c r="B31" s="2"/>
      <c r="C31" s="2"/>
      <c r="D31" s="2"/>
      <c r="E31" s="2"/>
      <c r="F31" s="2"/>
      <c r="G31" s="2"/>
      <c r="H31" s="2"/>
      <c r="I31" s="15" t="s">
        <v>75</v>
      </c>
      <c r="J31" s="98">
        <f ca="1">AmgEmpWS!Z1</f>
        <v>600</v>
      </c>
      <c r="K31" s="98"/>
      <c r="L31" s="98"/>
      <c r="M31" s="2" t="s">
        <v>70</v>
      </c>
      <c r="N31" s="17"/>
      <c r="O31" s="17"/>
      <c r="P31" s="17"/>
      <c r="Q31" s="18"/>
      <c r="R31" s="18"/>
      <c r="S31" s="1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8.75" x14ac:dyDescent="0.3">
      <c r="A32" s="2"/>
      <c r="B32" s="2"/>
      <c r="C32" s="2"/>
      <c r="D32" s="2"/>
      <c r="E32" s="2"/>
      <c r="F32" s="2"/>
      <c r="G32" s="2"/>
      <c r="H32" s="2"/>
      <c r="I32" s="15" t="s">
        <v>76</v>
      </c>
      <c r="J32" s="98">
        <f>AmgEmpWS!AA1</f>
        <v>24</v>
      </c>
      <c r="K32" s="98"/>
      <c r="L32" s="98"/>
      <c r="M32" s="2" t="s">
        <v>46</v>
      </c>
      <c r="N32" s="17"/>
      <c r="O32" s="17"/>
      <c r="P32" s="17"/>
      <c r="Q32" s="18"/>
      <c r="R32" s="18"/>
      <c r="S32" s="1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.75" x14ac:dyDescent="0.3">
      <c r="A33" s="2"/>
      <c r="B33" s="2"/>
      <c r="C33" s="2"/>
      <c r="D33" s="2"/>
      <c r="E33" s="2"/>
      <c r="F33" s="2"/>
      <c r="G33" s="2"/>
      <c r="H33" s="2"/>
      <c r="I33" s="15" t="s">
        <v>77</v>
      </c>
      <c r="J33" s="98">
        <v>0.5</v>
      </c>
      <c r="K33" s="98"/>
      <c r="L33" s="98"/>
      <c r="M33" s="2" t="s">
        <v>46</v>
      </c>
      <c r="N33" s="17"/>
      <c r="O33" s="17"/>
      <c r="P33" s="17"/>
      <c r="Q33" s="18"/>
      <c r="R33" s="18"/>
      <c r="S33" s="1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8.75" x14ac:dyDescent="0.3">
      <c r="A34" s="2"/>
      <c r="B34" s="2"/>
      <c r="C34" s="2"/>
      <c r="D34" s="2"/>
      <c r="E34" s="2"/>
      <c r="F34" s="2"/>
      <c r="G34" s="2"/>
      <c r="H34" s="2"/>
      <c r="I34" s="15" t="s">
        <v>79</v>
      </c>
      <c r="J34" s="75">
        <f ca="1">(J31/J25)/(1-EXP(-J26*J32))</f>
        <v>19.269004125422644</v>
      </c>
      <c r="K34" s="75"/>
      <c r="L34" s="75"/>
      <c r="M34" s="2" t="s">
        <v>82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.75" x14ac:dyDescent="0.3">
      <c r="A35" s="2"/>
      <c r="B35" s="2"/>
      <c r="C35" s="2"/>
      <c r="D35" s="2"/>
      <c r="E35" s="2"/>
      <c r="F35" s="2"/>
      <c r="G35" s="2"/>
      <c r="H35" s="2"/>
      <c r="I35" s="15" t="s">
        <v>80</v>
      </c>
      <c r="J35" s="75">
        <f ca="1">J34*EXP(-J26*(J32-J33))</f>
        <v>0.43477493743830797</v>
      </c>
      <c r="K35" s="75"/>
      <c r="L35" s="75"/>
      <c r="M35" s="2" t="s">
        <v>82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</sheetData>
  <mergeCells count="51">
    <mergeCell ref="E11:F11"/>
    <mergeCell ref="P11:S11"/>
    <mergeCell ref="T11:U11"/>
    <mergeCell ref="E12:F12"/>
    <mergeCell ref="P12:S12"/>
    <mergeCell ref="T12:U12"/>
    <mergeCell ref="E13:F13"/>
    <mergeCell ref="G13:H13"/>
    <mergeCell ref="P13:S13"/>
    <mergeCell ref="T13:U13"/>
    <mergeCell ref="E14:F14"/>
    <mergeCell ref="G14:H14"/>
    <mergeCell ref="P14:S14"/>
    <mergeCell ref="T14:U14"/>
    <mergeCell ref="E15:F15"/>
    <mergeCell ref="P15:S15"/>
    <mergeCell ref="T15:U15"/>
    <mergeCell ref="E16:F16"/>
    <mergeCell ref="P16:S16"/>
    <mergeCell ref="T16:U16"/>
    <mergeCell ref="S21:Z23"/>
    <mergeCell ref="E21:F21"/>
    <mergeCell ref="G21:H21"/>
    <mergeCell ref="E17:F17"/>
    <mergeCell ref="P17:S17"/>
    <mergeCell ref="T17:U17"/>
    <mergeCell ref="E18:F18"/>
    <mergeCell ref="P18:S18"/>
    <mergeCell ref="T18:U18"/>
    <mergeCell ref="J35:L35"/>
    <mergeCell ref="J25:L25"/>
    <mergeCell ref="J26:L26"/>
    <mergeCell ref="J27:L27"/>
    <mergeCell ref="J28:L28"/>
    <mergeCell ref="J29:L29"/>
    <mergeCell ref="R5:X6"/>
    <mergeCell ref="J31:L31"/>
    <mergeCell ref="J32:L32"/>
    <mergeCell ref="J33:L33"/>
    <mergeCell ref="J34:L34"/>
    <mergeCell ref="G24:Q24"/>
    <mergeCell ref="G5:M6"/>
    <mergeCell ref="B9:H9"/>
    <mergeCell ref="P9:Z9"/>
    <mergeCell ref="E10:F10"/>
    <mergeCell ref="P10:S10"/>
    <mergeCell ref="T10:U10"/>
    <mergeCell ref="E19:F19"/>
    <mergeCell ref="P19:S19"/>
    <mergeCell ref="T19:U19"/>
    <mergeCell ref="E20:F2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E6B5BA3-C3B6-4520-A8EF-F8B6A044D6E3}">
          <x14:formula1>
            <xm:f>DLsheet!$K$106:$K$107</xm:f>
          </x14:formula1>
          <xm:sqref>T16:U16</xm:sqref>
        </x14:dataValidation>
        <x14:dataValidation type="list" allowBlank="1" showInputMessage="1" showErrorMessage="1" xr:uid="{D04AD7A1-9687-4693-A7FD-E64432882461}">
          <x14:formula1>
            <xm:f>DLsheet!$J$6:$J$9</xm:f>
          </x14:formula1>
          <xm:sqref>T16:U16 T14:U14</xm:sqref>
        </x14:dataValidation>
        <x14:dataValidation type="list" allowBlank="1" showInputMessage="1" showErrorMessage="1" xr:uid="{A55EB6B9-0D81-4E32-B86A-6E8947D02D6C}">
          <x14:formula1>
            <xm:f>DLsheet!$I$6:$I$9</xm:f>
          </x14:formula1>
          <xm:sqref>T17:U17</xm:sqref>
        </x14:dataValidation>
        <x14:dataValidation type="list" allowBlank="1" showInputMessage="1" showErrorMessage="1" xr:uid="{307287BD-4480-4F5F-B8EE-D100659991AC}">
          <x14:formula1>
            <xm:f>DLsheet!$E$6:$E$7</xm:f>
          </x14:formula1>
          <xm:sqref>G14:H15</xm:sqref>
        </x14:dataValidation>
        <x14:dataValidation type="list" allowBlank="1" showInputMessage="1" showErrorMessage="1" xr:uid="{0E967173-A19D-4F10-8BEB-F7ED02D1CE02}">
          <x14:formula1>
            <xm:f>DLsheet!$D$6:$D$7</xm:f>
          </x14:formula1>
          <xm:sqref>G13:H13</xm:sqref>
        </x14:dataValidation>
        <x14:dataValidation type="list" allowBlank="1" showInputMessage="1" showErrorMessage="1" xr:uid="{E3A5E4FF-95F5-4A2D-9768-2D837A3F84A5}">
          <x14:formula1>
            <xm:f>DLsheet!$B$6:$B$7</xm:f>
          </x14:formula1>
          <xm:sqref>E11:F11</xm:sqref>
        </x14:dataValidation>
        <x14:dataValidation type="list" allowBlank="1" showInputMessage="1" showErrorMessage="1" xr:uid="{EF57C6BB-9C23-4D15-815F-F56FAF546951}">
          <x14:formula1>
            <xm:f>DLsheet!$K$112:$K$114</xm:f>
          </x14:formula1>
          <xm:sqref>G21:H21</xm:sqref>
        </x14:dataValidation>
        <x14:dataValidation type="list" allowBlank="1" showInputMessage="1" showErrorMessage="1" xr:uid="{334043B0-4D1D-403C-AE47-969D08FA6C15}">
          <x14:formula1>
            <xm:f>DLsheet!$J$112:$J$113</xm:f>
          </x14:formula1>
          <xm:sqref>E21:F21</xm:sqref>
        </x14:dataValidation>
        <x14:dataValidation type="decimal" allowBlank="1" showInputMessage="1" showErrorMessage="1" xr:uid="{83A9086E-8328-4C9D-BFD4-6CA80F7344CB}">
          <x14:formula1>
            <xm:f>DLsheet!C6</xm:f>
          </x14:formula1>
          <x14:formula2>
            <xm:f>DLsheet!C7</xm:f>
          </x14:formula2>
          <xm:sqref>E12:F12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3C20-2146-4FA9-ABEA-1C7AE35D7CA6}">
  <sheetPr codeName="Sheet7"/>
  <dimension ref="A1:AA100"/>
  <sheetViews>
    <sheetView topLeftCell="A34" workbookViewId="0"/>
  </sheetViews>
  <sheetFormatPr defaultRowHeight="15" x14ac:dyDescent="0.25"/>
  <cols>
    <col min="10" max="10" width="12" bestFit="1" customWidth="1"/>
    <col min="11" max="11" width="10.28515625" bestFit="1" customWidth="1"/>
    <col min="14" max="14" width="9.5703125" bestFit="1" customWidth="1"/>
  </cols>
  <sheetData>
    <row r="1" spans="1:27" x14ac:dyDescent="0.25">
      <c r="A1">
        <f>EmpiricAMGcalc!J26</f>
        <v>0.16133721566054243</v>
      </c>
      <c r="B1">
        <f>EmpiricAMGcalc!J25</f>
        <v>31.799999999999997</v>
      </c>
      <c r="C1">
        <v>8</v>
      </c>
      <c r="D1">
        <v>12</v>
      </c>
      <c r="E1">
        <v>18</v>
      </c>
      <c r="F1">
        <v>24</v>
      </c>
      <c r="G1">
        <v>36</v>
      </c>
      <c r="H1">
        <v>48</v>
      </c>
      <c r="J1" t="s">
        <v>90</v>
      </c>
      <c r="K1" t="s">
        <v>91</v>
      </c>
      <c r="L1" s="12" t="s">
        <v>85</v>
      </c>
      <c r="M1" s="13" t="s">
        <v>86</v>
      </c>
      <c r="N1" t="s">
        <v>93</v>
      </c>
      <c r="O1" s="13" t="s">
        <v>75</v>
      </c>
      <c r="P1" s="13" t="s">
        <v>96</v>
      </c>
      <c r="Q1" t="s">
        <v>87</v>
      </c>
      <c r="R1" t="s">
        <v>88</v>
      </c>
      <c r="S1" t="s">
        <v>89</v>
      </c>
      <c r="U1">
        <f>DLsheet!B120</f>
        <v>0</v>
      </c>
      <c r="V1">
        <v>12</v>
      </c>
      <c r="W1" t="s">
        <v>163</v>
      </c>
      <c r="X1">
        <f ca="1">MIN(INDIRECT(W1))</f>
        <v>11.237533176954635</v>
      </c>
      <c r="Y1">
        <f ca="1">VLOOKUP(X1,N:O,2,FALSE)</f>
        <v>200</v>
      </c>
      <c r="Z1">
        <f ca="1">VLOOKUP(AA1,V1:Y5,4,FALSE)</f>
        <v>600</v>
      </c>
      <c r="AA1">
        <f>LOOKUP(EmpiricAMGcalc!J29,AmgEmpWS!U1:U5,AmgEmpWS!V1:V5)</f>
        <v>24</v>
      </c>
    </row>
    <row r="2" spans="1:27" x14ac:dyDescent="0.25">
      <c r="A2">
        <v>-0.5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J2">
        <f>((Q2-EmpiricAMGcalc!$T$11)^2)/EmpiricAMGcalc!$T$11</f>
        <v>10.494743221542752</v>
      </c>
      <c r="K2">
        <f>((R2-EmpiricAMGcalc!$T$12)^2)/EmpiricAMGcalc!$T$12</f>
        <v>1.4985775685260854</v>
      </c>
      <c r="L2" s="12">
        <f t="shared" ref="L2:L33" si="0">O2*24/M2</f>
        <v>300</v>
      </c>
      <c r="M2" s="12">
        <v>12</v>
      </c>
      <c r="N2" s="5">
        <f t="shared" ref="N2:N33" si="1">SUM(J2:K2)</f>
        <v>11.993320790068838</v>
      </c>
      <c r="O2" s="14">
        <v>150</v>
      </c>
      <c r="P2" s="14">
        <v>0.5</v>
      </c>
      <c r="Q2">
        <f t="shared" ref="Q2:Q33" si="2">O2/$B$1/(1-EXP(-$A$1*M2))</f>
        <v>5.5122512297163624</v>
      </c>
      <c r="R2">
        <f t="shared" ref="R2:R46" si="3">Q2*EXP(-$A$1*(M2-P2))</f>
        <v>0.8620820142199257</v>
      </c>
      <c r="S2">
        <f t="shared" ref="S2:S33" si="4">O2*24/M2/$B$1/$A$1</f>
        <v>58.473565603116882</v>
      </c>
      <c r="U2">
        <f>DLsheet!B121</f>
        <v>7.01</v>
      </c>
      <c r="V2">
        <v>18</v>
      </c>
      <c r="W2" t="s">
        <v>164</v>
      </c>
      <c r="X2">
        <f ca="1">MIN(INDIRECT(W2))</f>
        <v>2.7457866469852381</v>
      </c>
      <c r="Y2">
        <f ca="1">VLOOKUP(X2,N:O,2,FALSE)</f>
        <v>500</v>
      </c>
    </row>
    <row r="3" spans="1:27" x14ac:dyDescent="0.25">
      <c r="A3">
        <v>0</v>
      </c>
      <c r="B3">
        <f ca="1">HLOOKUP(EmpiricAMGcalc!$J$32,AmgEmpWS!$C$1:$H$100,I3,FALSE)</f>
        <v>18.867924528301888</v>
      </c>
      <c r="C3">
        <f ca="1">EmpiricAMGcalc!J31/EmpiricAMGcalc!J25</f>
        <v>18.867924528301888</v>
      </c>
      <c r="D3">
        <f ca="1">EmpiricAMGcalc!J31/EmpiricAMGcalc!J25</f>
        <v>18.867924528301888</v>
      </c>
      <c r="E3">
        <f ca="1">EmpiricAMGcalc!J31/EmpiricAMGcalc!J25</f>
        <v>18.867924528301888</v>
      </c>
      <c r="F3">
        <f ca="1">EmpiricAMGcalc!J31/EmpiricAMGcalc!J25</f>
        <v>18.867924528301888</v>
      </c>
      <c r="G3">
        <f ca="1">EmpiricAMGcalc!J31/EmpiricAMGcalc!J25</f>
        <v>18.867924528301888</v>
      </c>
      <c r="H3">
        <f ca="1">EmpiricAMGcalc!J31/EmpiricAMGcalc!J25</f>
        <v>18.867924528301888</v>
      </c>
      <c r="I3">
        <v>3</v>
      </c>
      <c r="J3">
        <f>((Q3-EmpiricAMGcalc!$T$11)^2)/EmpiricAMGcalc!$T$11</f>
        <v>8.001544598046106</v>
      </c>
      <c r="K3">
        <f>((R3-EmpiricAMGcalc!$T$12)^2)/EmpiricAMGcalc!$T$12</f>
        <v>3.2359885789085299</v>
      </c>
      <c r="L3" s="12">
        <f t="shared" si="0"/>
        <v>400</v>
      </c>
      <c r="M3" s="12">
        <v>12</v>
      </c>
      <c r="N3" s="5">
        <f t="shared" si="1"/>
        <v>11.237533176954635</v>
      </c>
      <c r="O3" s="14">
        <v>200</v>
      </c>
      <c r="P3" s="14">
        <v>0.5</v>
      </c>
      <c r="Q3">
        <f t="shared" si="2"/>
        <v>7.3496683062884829</v>
      </c>
      <c r="R3">
        <f t="shared" si="3"/>
        <v>1.1494426856265676</v>
      </c>
      <c r="S3">
        <f t="shared" si="4"/>
        <v>77.96475413748918</v>
      </c>
      <c r="U3">
        <f>DLsheet!B122</f>
        <v>16.010000000000002</v>
      </c>
      <c r="V3">
        <v>24</v>
      </c>
      <c r="W3" t="s">
        <v>165</v>
      </c>
      <c r="X3">
        <f ca="1">MIN(INDIRECT(W3))</f>
        <v>0.29898429919185016</v>
      </c>
      <c r="Y3">
        <f ca="1">VLOOKUP(X3,N:O,2,FALSE)</f>
        <v>600</v>
      </c>
    </row>
    <row r="4" spans="1:27" x14ac:dyDescent="0.25">
      <c r="A4">
        <v>0.5</v>
      </c>
      <c r="B4">
        <f ca="1">HLOOKUP(EmpiricAMGcalc!$J$32,AmgEmpWS!$C$1:$H$100,I4,FALSE)</f>
        <v>17.405648110500586</v>
      </c>
      <c r="C4">
        <f ca="1">$C$3*EXP(-$A$1*AmgEmpWS!$A4)</f>
        <v>17.405648110500586</v>
      </c>
      <c r="D4">
        <f ca="1">$C$3*EXP(-$A$1*AmgEmpWS!$A4)</f>
        <v>17.405648110500586</v>
      </c>
      <c r="E4">
        <f ca="1">$C$3*EXP(-$A$1*AmgEmpWS!$A4)</f>
        <v>17.405648110500586</v>
      </c>
      <c r="F4">
        <f ca="1">$C$3*EXP(-$A$1*AmgEmpWS!$A4)</f>
        <v>17.405648110500586</v>
      </c>
      <c r="G4">
        <f ca="1">$C$3*EXP(-$A$1*AmgEmpWS!$A4)</f>
        <v>17.405648110500586</v>
      </c>
      <c r="H4">
        <f ca="1">$C$3*EXP(-$A$1*AmgEmpWS!$A4)</f>
        <v>17.405648110500586</v>
      </c>
      <c r="I4">
        <v>4</v>
      </c>
      <c r="J4">
        <f>((Q4-EmpiricAMGcalc!$T$11)^2)/EmpiricAMGcalc!$T$11</f>
        <v>5.8459561258773416</v>
      </c>
      <c r="K4">
        <f>((R4-EmpiricAMGcalc!$T$12)^2)/EmpiricAMGcalc!$T$12</f>
        <v>5.6340088330611806</v>
      </c>
      <c r="L4" s="12">
        <f t="shared" si="0"/>
        <v>500</v>
      </c>
      <c r="M4" s="12">
        <v>12</v>
      </c>
      <c r="N4" s="5">
        <f t="shared" si="1"/>
        <v>11.479964958938522</v>
      </c>
      <c r="O4" s="14">
        <v>250</v>
      </c>
      <c r="P4" s="14">
        <v>0.5</v>
      </c>
      <c r="Q4">
        <f t="shared" si="2"/>
        <v>9.1870853828606034</v>
      </c>
      <c r="R4">
        <f t="shared" si="3"/>
        <v>1.4368033570332093</v>
      </c>
      <c r="S4">
        <f t="shared" si="4"/>
        <v>97.455942671861465</v>
      </c>
      <c r="U4">
        <f>DLsheet!B123</f>
        <v>33.01</v>
      </c>
      <c r="V4">
        <v>36</v>
      </c>
      <c r="W4" t="s">
        <v>166</v>
      </c>
      <c r="X4">
        <f ca="1">MIN(INDIRECT(W4))</f>
        <v>2.0923012523058726</v>
      </c>
      <c r="Y4">
        <f ca="1">VLOOKUP(X4,N:O,2,FALSE)</f>
        <v>500</v>
      </c>
    </row>
    <row r="5" spans="1:27" x14ac:dyDescent="0.25">
      <c r="A5">
        <v>1</v>
      </c>
      <c r="B5">
        <f ca="1">HLOOKUP(EmpiricAMGcalc!$J$32,AmgEmpWS!$C$1:$H$100,I5,FALSE)</f>
        <v>16.056699065768345</v>
      </c>
      <c r="C5">
        <f ca="1">$C$3*EXP(-$A$1*AmgEmpWS!$A5)</f>
        <v>16.056699065768345</v>
      </c>
      <c r="D5">
        <f ca="1">$C$3*EXP(-$A$1*AmgEmpWS!$A5)</f>
        <v>16.056699065768345</v>
      </c>
      <c r="E5">
        <f ca="1">$C$3*EXP(-$A$1*AmgEmpWS!$A5)</f>
        <v>16.056699065768345</v>
      </c>
      <c r="F5">
        <f ca="1">$C$3*EXP(-$A$1*AmgEmpWS!$A5)</f>
        <v>16.056699065768345</v>
      </c>
      <c r="G5">
        <f ca="1">$C$3*EXP(-$A$1*AmgEmpWS!$A5)</f>
        <v>16.056699065768345</v>
      </c>
      <c r="H5">
        <f ca="1">$C$3*EXP(-$A$1*AmgEmpWS!$A5)</f>
        <v>16.056699065768345</v>
      </c>
      <c r="I5">
        <v>5</v>
      </c>
      <c r="J5">
        <f>((Q5-EmpiricAMGcalc!$T$11)^2)/EmpiricAMGcalc!$T$11</f>
        <v>4.0279778050364605</v>
      </c>
      <c r="K5">
        <f>((R5-EmpiricAMGcalc!$T$12)^2)/EmpiricAMGcalc!$T$12</f>
        <v>8.6926383309840443</v>
      </c>
      <c r="L5" s="12">
        <f t="shared" si="0"/>
        <v>600</v>
      </c>
      <c r="M5" s="12">
        <v>12</v>
      </c>
      <c r="N5" s="5">
        <f t="shared" si="1"/>
        <v>12.720616136020505</v>
      </c>
      <c r="O5" s="14">
        <v>300</v>
      </c>
      <c r="P5" s="14">
        <v>0.5</v>
      </c>
      <c r="Q5">
        <f t="shared" si="2"/>
        <v>11.024502459432725</v>
      </c>
      <c r="R5">
        <f t="shared" si="3"/>
        <v>1.7241640284398514</v>
      </c>
      <c r="S5">
        <f t="shared" si="4"/>
        <v>116.94713120623376</v>
      </c>
      <c r="U5">
        <f>DLsheet!B124</f>
        <v>44.01</v>
      </c>
      <c r="V5">
        <v>48</v>
      </c>
      <c r="W5" t="s">
        <v>167</v>
      </c>
      <c r="X5">
        <f ca="1">MIN(INDIRECT(W5))</f>
        <v>5.7466606582787962</v>
      </c>
      <c r="Y5">
        <f ca="1">VLOOKUP(X5,N:O,2,FALSE)</f>
        <v>350</v>
      </c>
    </row>
    <row r="6" spans="1:27" x14ac:dyDescent="0.25">
      <c r="A6">
        <v>1.5</v>
      </c>
      <c r="B6">
        <f ca="1">HLOOKUP(EmpiricAMGcalc!$J$32,AmgEmpWS!$C$1:$H$100,I6,FALSE)</f>
        <v>14.812294449013269</v>
      </c>
      <c r="C6">
        <f ca="1">$C$3*EXP(-$A$1*AmgEmpWS!$A6)</f>
        <v>14.812294449013269</v>
      </c>
      <c r="D6">
        <f ca="1">$C$3*EXP(-$A$1*AmgEmpWS!$A6)</f>
        <v>14.812294449013269</v>
      </c>
      <c r="E6">
        <f ca="1">$C$3*EXP(-$A$1*AmgEmpWS!$A6)</f>
        <v>14.812294449013269</v>
      </c>
      <c r="F6">
        <f ca="1">$C$3*EXP(-$A$1*AmgEmpWS!$A6)</f>
        <v>14.812294449013269</v>
      </c>
      <c r="G6">
        <f ca="1">$C$3*EXP(-$A$1*AmgEmpWS!$A6)</f>
        <v>14.812294449013269</v>
      </c>
      <c r="H6">
        <f ca="1">$C$3*EXP(-$A$1*AmgEmpWS!$A6)</f>
        <v>14.812294449013269</v>
      </c>
      <c r="I6">
        <v>6</v>
      </c>
      <c r="J6">
        <f>((Q6-EmpiricAMGcalc!$T$11)^2)/EmpiricAMGcalc!$T$11</f>
        <v>2.5476096355234636</v>
      </c>
      <c r="K6">
        <f>((R6-EmpiricAMGcalc!$T$12)^2)/EmpiricAMGcalc!$T$12</f>
        <v>12.411877072677113</v>
      </c>
      <c r="L6" s="12">
        <f t="shared" si="0"/>
        <v>700</v>
      </c>
      <c r="M6" s="12">
        <v>12</v>
      </c>
      <c r="N6" s="5">
        <f t="shared" si="1"/>
        <v>14.959486708200576</v>
      </c>
      <c r="O6" s="14">
        <v>350</v>
      </c>
      <c r="P6" s="14">
        <v>0.5</v>
      </c>
      <c r="Q6">
        <f t="shared" si="2"/>
        <v>12.861919536004846</v>
      </c>
      <c r="R6">
        <f t="shared" si="3"/>
        <v>2.0115246998464933</v>
      </c>
      <c r="S6">
        <f t="shared" si="4"/>
        <v>136.43831974060606</v>
      </c>
    </row>
    <row r="7" spans="1:27" x14ac:dyDescent="0.25">
      <c r="A7">
        <v>2</v>
      </c>
      <c r="B7">
        <f ca="1">HLOOKUP(EmpiricAMGcalc!$J$32,AmgEmpWS!$C$1:$H$100,I7,FALSE)</f>
        <v>13.664331999098243</v>
      </c>
      <c r="C7">
        <f ca="1">$C$3*EXP(-$A$1*AmgEmpWS!$A7)</f>
        <v>13.664331999098243</v>
      </c>
      <c r="D7">
        <f ca="1">$C$3*EXP(-$A$1*AmgEmpWS!$A7)</f>
        <v>13.664331999098243</v>
      </c>
      <c r="E7">
        <f ca="1">$C$3*EXP(-$A$1*AmgEmpWS!$A7)</f>
        <v>13.664331999098243</v>
      </c>
      <c r="F7">
        <f ca="1">$C$3*EXP(-$A$1*AmgEmpWS!$A7)</f>
        <v>13.664331999098243</v>
      </c>
      <c r="G7">
        <f ca="1">$C$3*EXP(-$A$1*AmgEmpWS!$A7)</f>
        <v>13.664331999098243</v>
      </c>
      <c r="H7">
        <f ca="1">$C$3*EXP(-$A$1*AmgEmpWS!$A7)</f>
        <v>13.664331999098243</v>
      </c>
      <c r="I7">
        <v>7</v>
      </c>
      <c r="J7">
        <f>((Q7-EmpiricAMGcalc!$T$11)^2)/EmpiricAMGcalc!$T$11</f>
        <v>1.4048516173383518</v>
      </c>
      <c r="K7">
        <f>((R7-EmpiricAMGcalc!$T$12)^2)/EmpiricAMGcalc!$T$12</f>
        <v>16.79172505814039</v>
      </c>
      <c r="L7" s="12">
        <f t="shared" si="0"/>
        <v>800</v>
      </c>
      <c r="M7" s="12">
        <v>12</v>
      </c>
      <c r="N7" s="5">
        <f t="shared" si="1"/>
        <v>18.196576675478742</v>
      </c>
      <c r="O7" s="14">
        <v>400</v>
      </c>
      <c r="P7" s="14">
        <v>0.5</v>
      </c>
      <c r="Q7">
        <f t="shared" si="2"/>
        <v>14.699336612576966</v>
      </c>
      <c r="R7">
        <f t="shared" si="3"/>
        <v>2.2988853712531352</v>
      </c>
      <c r="S7">
        <f t="shared" si="4"/>
        <v>155.92950827497836</v>
      </c>
    </row>
    <row r="8" spans="1:27" x14ac:dyDescent="0.25">
      <c r="A8">
        <v>2.5</v>
      </c>
      <c r="B8">
        <f ca="1">HLOOKUP(EmpiricAMGcalc!$J$32,AmgEmpWS!$C$1:$H$100,I8,FALSE)</f>
        <v>12.605337385391922</v>
      </c>
      <c r="C8">
        <f ca="1">$C$3*EXP(-$A$1*AmgEmpWS!$A8)</f>
        <v>12.605337385391922</v>
      </c>
      <c r="D8">
        <f ca="1">$C$3*EXP(-$A$1*AmgEmpWS!$A8)</f>
        <v>12.605337385391922</v>
      </c>
      <c r="E8">
        <f ca="1">$C$3*EXP(-$A$1*AmgEmpWS!$A8)</f>
        <v>12.605337385391922</v>
      </c>
      <c r="F8">
        <f ca="1">$C$3*EXP(-$A$1*AmgEmpWS!$A8)</f>
        <v>12.605337385391922</v>
      </c>
      <c r="G8">
        <f ca="1">$C$3*EXP(-$A$1*AmgEmpWS!$A8)</f>
        <v>12.605337385391922</v>
      </c>
      <c r="H8">
        <f ca="1">$C$3*EXP(-$A$1*AmgEmpWS!$A8)</f>
        <v>12.605337385391922</v>
      </c>
      <c r="I8">
        <v>8</v>
      </c>
      <c r="J8">
        <f>((Q8-EmpiricAMGcalc!$T$11)^2)/EmpiricAMGcalc!$T$11</f>
        <v>0.5997037504811229</v>
      </c>
      <c r="K8">
        <f>((R8-EmpiricAMGcalc!$T$12)^2)/EmpiricAMGcalc!$T$12</f>
        <v>21.832182287373875</v>
      </c>
      <c r="L8" s="12">
        <f t="shared" si="0"/>
        <v>900</v>
      </c>
      <c r="M8" s="12">
        <v>12</v>
      </c>
      <c r="N8" s="5">
        <f t="shared" si="1"/>
        <v>22.431886037854998</v>
      </c>
      <c r="O8" s="14">
        <v>450</v>
      </c>
      <c r="P8" s="14">
        <v>0.5</v>
      </c>
      <c r="Q8">
        <f t="shared" si="2"/>
        <v>16.536753689149087</v>
      </c>
      <c r="R8">
        <f t="shared" si="3"/>
        <v>2.5862460426597771</v>
      </c>
      <c r="S8">
        <f t="shared" si="4"/>
        <v>175.42069680935066</v>
      </c>
    </row>
    <row r="9" spans="1:27" x14ac:dyDescent="0.25">
      <c r="A9">
        <v>3</v>
      </c>
      <c r="B9">
        <f ca="1">HLOOKUP(EmpiricAMGcalc!$J$32,AmgEmpWS!$C$1:$H$100,I9,FALSE)</f>
        <v>11.62841554274627</v>
      </c>
      <c r="C9">
        <f ca="1">$C$3*EXP(-$A$1*AmgEmpWS!$A9)</f>
        <v>11.62841554274627</v>
      </c>
      <c r="D9">
        <f ca="1">$C$3*EXP(-$A$1*AmgEmpWS!$A9)</f>
        <v>11.62841554274627</v>
      </c>
      <c r="E9">
        <f ca="1">$C$3*EXP(-$A$1*AmgEmpWS!$A9)</f>
        <v>11.62841554274627</v>
      </c>
      <c r="F9">
        <f ca="1">$C$3*EXP(-$A$1*AmgEmpWS!$A9)</f>
        <v>11.62841554274627</v>
      </c>
      <c r="G9">
        <f ca="1">$C$3*EXP(-$A$1*AmgEmpWS!$A9)</f>
        <v>11.62841554274627</v>
      </c>
      <c r="H9">
        <f ca="1">$C$3*EXP(-$A$1*AmgEmpWS!$A9)</f>
        <v>11.62841554274627</v>
      </c>
      <c r="I9">
        <v>9</v>
      </c>
      <c r="J9">
        <f>((Q9-EmpiricAMGcalc!$T$11)^2)/EmpiricAMGcalc!$T$11</f>
        <v>0.13216603495177834</v>
      </c>
      <c r="K9">
        <f>((R9-EmpiricAMGcalc!$T$12)^2)/EmpiricAMGcalc!$T$12</f>
        <v>27.53324876037756</v>
      </c>
      <c r="L9" s="12">
        <f t="shared" si="0"/>
        <v>1000</v>
      </c>
      <c r="M9" s="12">
        <v>12</v>
      </c>
      <c r="N9" s="5">
        <f t="shared" si="1"/>
        <v>27.66541479532934</v>
      </c>
      <c r="O9" s="14">
        <v>500</v>
      </c>
      <c r="P9" s="14">
        <v>0.5</v>
      </c>
      <c r="Q9">
        <f t="shared" si="2"/>
        <v>18.374170765721207</v>
      </c>
      <c r="R9">
        <f t="shared" si="3"/>
        <v>2.8736067140664185</v>
      </c>
      <c r="S9">
        <f t="shared" si="4"/>
        <v>194.91188534372293</v>
      </c>
    </row>
    <row r="10" spans="1:27" x14ac:dyDescent="0.25">
      <c r="A10">
        <v>3.5</v>
      </c>
      <c r="B10">
        <f ca="1">HLOOKUP(EmpiricAMGcalc!$J$32,AmgEmpWS!$C$1:$H$100,I10,FALSE)</f>
        <v>10.727205778045013</v>
      </c>
      <c r="C10">
        <f ca="1">$C$3*EXP(-$A$1*AmgEmpWS!$A10)</f>
        <v>10.727205778045013</v>
      </c>
      <c r="D10">
        <f ca="1">$C$3*EXP(-$A$1*AmgEmpWS!$A10)</f>
        <v>10.727205778045013</v>
      </c>
      <c r="E10">
        <f ca="1">$C$3*EXP(-$A$1*AmgEmpWS!$A10)</f>
        <v>10.727205778045013</v>
      </c>
      <c r="F10">
        <f ca="1">$C$3*EXP(-$A$1*AmgEmpWS!$A10)</f>
        <v>10.727205778045013</v>
      </c>
      <c r="G10">
        <f ca="1">$C$3*EXP(-$A$1*AmgEmpWS!$A10)</f>
        <v>10.727205778045013</v>
      </c>
      <c r="H10">
        <f ca="1">$C$3*EXP(-$A$1*AmgEmpWS!$A10)</f>
        <v>10.727205778045013</v>
      </c>
      <c r="I10">
        <v>10</v>
      </c>
      <c r="J10">
        <f>((Q10-EmpiricAMGcalc!$T$11)^2)/EmpiricAMGcalc!$T$11</f>
        <v>2.2384707503172781E-3</v>
      </c>
      <c r="K10">
        <f>((R10-EmpiricAMGcalc!$T$12)^2)/EmpiricAMGcalc!$T$12</f>
        <v>33.894924477151463</v>
      </c>
      <c r="L10" s="12">
        <f t="shared" si="0"/>
        <v>1100</v>
      </c>
      <c r="M10" s="12">
        <v>12</v>
      </c>
      <c r="N10" s="5">
        <f t="shared" si="1"/>
        <v>33.897162947901784</v>
      </c>
      <c r="O10" s="14">
        <v>550</v>
      </c>
      <c r="P10" s="14">
        <v>0.5</v>
      </c>
      <c r="Q10">
        <f t="shared" si="2"/>
        <v>20.211587842293326</v>
      </c>
      <c r="R10">
        <f t="shared" si="3"/>
        <v>3.1609673854730604</v>
      </c>
      <c r="S10">
        <f t="shared" si="4"/>
        <v>214.40307387809523</v>
      </c>
    </row>
    <row r="11" spans="1:27" x14ac:dyDescent="0.25">
      <c r="A11">
        <v>4</v>
      </c>
      <c r="B11">
        <f ca="1">HLOOKUP(EmpiricAMGcalc!$J$32,AmgEmpWS!$C$1:$H$100,I11,FALSE)</f>
        <v>9.8958403560237471</v>
      </c>
      <c r="C11">
        <f ca="1">$C$3*EXP(-$A$1*AmgEmpWS!$A11)</f>
        <v>9.8958403560237471</v>
      </c>
      <c r="D11">
        <f ca="1">$C$3*EXP(-$A$1*AmgEmpWS!$A11)</f>
        <v>9.8958403560237471</v>
      </c>
      <c r="E11">
        <f ca="1">$C$3*EXP(-$A$1*AmgEmpWS!$A11)</f>
        <v>9.8958403560237471</v>
      </c>
      <c r="F11">
        <f ca="1">$C$3*EXP(-$A$1*AmgEmpWS!$A11)</f>
        <v>9.8958403560237471</v>
      </c>
      <c r="G11">
        <f ca="1">$C$3*EXP(-$A$1*AmgEmpWS!$A11)</f>
        <v>9.8958403560237471</v>
      </c>
      <c r="H11">
        <f ca="1">$C$3*EXP(-$A$1*AmgEmpWS!$A11)</f>
        <v>9.8958403560237471</v>
      </c>
      <c r="I11">
        <v>11</v>
      </c>
      <c r="J11">
        <f>((Q11-EmpiricAMGcalc!$T$11)^2)/EmpiricAMGcalc!$T$11</f>
        <v>0.20992105787674037</v>
      </c>
      <c r="K11">
        <f>((R11-EmpiricAMGcalc!$T$12)^2)/EmpiricAMGcalc!$T$12</f>
        <v>40.917209437695583</v>
      </c>
      <c r="L11" s="12">
        <f t="shared" si="0"/>
        <v>1200</v>
      </c>
      <c r="M11" s="12">
        <v>12</v>
      </c>
      <c r="N11" s="5">
        <f t="shared" si="1"/>
        <v>41.127130495572324</v>
      </c>
      <c r="O11" s="14">
        <v>600</v>
      </c>
      <c r="P11" s="14">
        <v>0.5</v>
      </c>
      <c r="Q11">
        <f t="shared" si="2"/>
        <v>22.04900491886545</v>
      </c>
      <c r="R11">
        <f t="shared" si="3"/>
        <v>3.4483280568797028</v>
      </c>
      <c r="S11">
        <f t="shared" si="4"/>
        <v>233.89426241246753</v>
      </c>
    </row>
    <row r="12" spans="1:27" x14ac:dyDescent="0.25">
      <c r="A12">
        <v>4.5</v>
      </c>
      <c r="B12">
        <f ca="1">HLOOKUP(EmpiricAMGcalc!$J$32,AmgEmpWS!$C$1:$H$100,I12,FALSE)</f>
        <v>9.1289062947159287</v>
      </c>
      <c r="C12">
        <f ca="1">$C$3*EXP(-$A$1*AmgEmpWS!$A12)</f>
        <v>9.1289062947159287</v>
      </c>
      <c r="D12">
        <f ca="1">$C$3*EXP(-$A$1*AmgEmpWS!$A12)</f>
        <v>9.1289062947159287</v>
      </c>
      <c r="E12">
        <f ca="1">$C$3*EXP(-$A$1*AmgEmpWS!$A12)</f>
        <v>9.1289062947159287</v>
      </c>
      <c r="F12">
        <f ca="1">$C$3*EXP(-$A$1*AmgEmpWS!$A12)</f>
        <v>9.1289062947159287</v>
      </c>
      <c r="G12">
        <f ca="1">$C$3*EXP(-$A$1*AmgEmpWS!$A12)</f>
        <v>9.1289062947159287</v>
      </c>
      <c r="H12">
        <f ca="1">$C$3*EXP(-$A$1*AmgEmpWS!$A12)</f>
        <v>9.1289062947159287</v>
      </c>
      <c r="I12">
        <v>12</v>
      </c>
      <c r="J12">
        <f>((Q12-EmpiricAMGcalc!$T$11)^2)/EmpiricAMGcalc!$T$11</f>
        <v>0.7552137963310469</v>
      </c>
      <c r="K12">
        <f>((R12-EmpiricAMGcalc!$T$12)^2)/EmpiricAMGcalc!$T$12</f>
        <v>48.600103642009884</v>
      </c>
      <c r="L12" s="12">
        <f t="shared" si="0"/>
        <v>1300</v>
      </c>
      <c r="M12" s="12">
        <v>12</v>
      </c>
      <c r="N12" s="5">
        <f t="shared" si="1"/>
        <v>49.355317438340933</v>
      </c>
      <c r="O12" s="14">
        <v>650</v>
      </c>
      <c r="P12" s="14">
        <v>0.5</v>
      </c>
      <c r="Q12">
        <f t="shared" si="2"/>
        <v>23.886421995437569</v>
      </c>
      <c r="R12">
        <f t="shared" si="3"/>
        <v>3.7356887282863442</v>
      </c>
      <c r="S12">
        <f t="shared" si="4"/>
        <v>253.38545094683982</v>
      </c>
    </row>
    <row r="13" spans="1:27" x14ac:dyDescent="0.25">
      <c r="A13">
        <v>5</v>
      </c>
      <c r="B13">
        <f ca="1">HLOOKUP(EmpiricAMGcalc!$J$32,AmgEmpWS!$C$1:$H$100,I13,FALSE)</f>
        <v>8.4214101217766384</v>
      </c>
      <c r="C13">
        <f ca="1">$C$3*EXP(-$A$1*AmgEmpWS!$A13)</f>
        <v>8.4214101217766384</v>
      </c>
      <c r="D13">
        <f ca="1">$C$3*EXP(-$A$1*AmgEmpWS!$A13)</f>
        <v>8.4214101217766384</v>
      </c>
      <c r="E13">
        <f ca="1">$C$3*EXP(-$A$1*AmgEmpWS!$A13)</f>
        <v>8.4214101217766384</v>
      </c>
      <c r="F13">
        <f ca="1">$C$3*EXP(-$A$1*AmgEmpWS!$A13)</f>
        <v>8.4214101217766384</v>
      </c>
      <c r="G13">
        <f ca="1">$C$3*EXP(-$A$1*AmgEmpWS!$A13)</f>
        <v>8.4214101217766384</v>
      </c>
      <c r="H13">
        <f ca="1">$C$3*EXP(-$A$1*AmgEmpWS!$A13)</f>
        <v>8.4214101217766384</v>
      </c>
      <c r="I13">
        <v>13</v>
      </c>
      <c r="J13">
        <f>((Q13-EmpiricAMGcalc!$T$11)^2)/EmpiricAMGcalc!$T$11</f>
        <v>1.6381166861132388</v>
      </c>
      <c r="K13">
        <f>((R13-EmpiricAMGcalc!$T$12)^2)/EmpiricAMGcalc!$T$12</f>
        <v>56.943607090094424</v>
      </c>
      <c r="L13" s="12">
        <f t="shared" si="0"/>
        <v>1400</v>
      </c>
      <c r="M13" s="12">
        <v>12</v>
      </c>
      <c r="N13" s="5">
        <f t="shared" si="1"/>
        <v>58.58172377620766</v>
      </c>
      <c r="O13" s="14">
        <v>700</v>
      </c>
      <c r="P13" s="14">
        <v>0.5</v>
      </c>
      <c r="Q13">
        <f t="shared" si="2"/>
        <v>25.723839072009692</v>
      </c>
      <c r="R13">
        <f t="shared" si="3"/>
        <v>4.0230493996929866</v>
      </c>
      <c r="S13">
        <f t="shared" si="4"/>
        <v>272.87663948121212</v>
      </c>
    </row>
    <row r="14" spans="1:27" x14ac:dyDescent="0.25">
      <c r="A14">
        <v>5.5</v>
      </c>
      <c r="B14">
        <f ca="1">HLOOKUP(EmpiricAMGcalc!$J$32,AmgEmpWS!$C$1:$H$100,I14,FALSE)</f>
        <v>7.7687453622141565</v>
      </c>
      <c r="C14">
        <f ca="1">$C$3*EXP(-$A$1*AmgEmpWS!$A14)</f>
        <v>7.7687453622141565</v>
      </c>
      <c r="D14">
        <f ca="1">$C$3*EXP(-$A$1*AmgEmpWS!$A14)</f>
        <v>7.7687453622141565</v>
      </c>
      <c r="E14">
        <f ca="1">$C$3*EXP(-$A$1*AmgEmpWS!$A14)</f>
        <v>7.7687453622141565</v>
      </c>
      <c r="F14">
        <f ca="1">$C$3*EXP(-$A$1*AmgEmpWS!$A14)</f>
        <v>7.7687453622141565</v>
      </c>
      <c r="G14">
        <f ca="1">$C$3*EXP(-$A$1*AmgEmpWS!$A14)</f>
        <v>7.7687453622141565</v>
      </c>
      <c r="H14">
        <f ca="1">$C$3*EXP(-$A$1*AmgEmpWS!$A14)</f>
        <v>7.7687453622141565</v>
      </c>
      <c r="I14">
        <v>14</v>
      </c>
      <c r="J14">
        <f>((Q14-EmpiricAMGcalc!$T$11)^2)/EmpiricAMGcalc!$T$11</f>
        <v>2.8586297272233101</v>
      </c>
      <c r="K14">
        <f>((R14-EmpiricAMGcalc!$T$12)^2)/EmpiricAMGcalc!$T$12</f>
        <v>65.947719781949132</v>
      </c>
      <c r="L14" s="12">
        <f t="shared" si="0"/>
        <v>1500</v>
      </c>
      <c r="M14" s="12">
        <v>12</v>
      </c>
      <c r="N14" s="5">
        <f t="shared" si="1"/>
        <v>68.806349509172449</v>
      </c>
      <c r="O14" s="14">
        <v>750</v>
      </c>
      <c r="P14" s="14">
        <v>0.5</v>
      </c>
      <c r="Q14">
        <f t="shared" si="2"/>
        <v>27.561256148581808</v>
      </c>
      <c r="R14">
        <f t="shared" si="3"/>
        <v>4.3104100710996276</v>
      </c>
      <c r="S14">
        <f t="shared" si="4"/>
        <v>292.36782801558439</v>
      </c>
    </row>
    <row r="15" spans="1:27" x14ac:dyDescent="0.25">
      <c r="A15">
        <v>6</v>
      </c>
      <c r="B15">
        <f ca="1">HLOOKUP(EmpiricAMGcalc!$J$32,AmgEmpWS!$C$1:$H$100,I15,FALSE)</f>
        <v>7.1666625458434998</v>
      </c>
      <c r="C15">
        <f ca="1">$C$3*EXP(-$A$1*AmgEmpWS!$A15)</f>
        <v>7.1666625458434998</v>
      </c>
      <c r="D15">
        <f ca="1">$C$3*EXP(-$A$1*AmgEmpWS!$A15)</f>
        <v>7.1666625458434998</v>
      </c>
      <c r="E15">
        <f ca="1">$C$3*EXP(-$A$1*AmgEmpWS!$A15)</f>
        <v>7.1666625458434998</v>
      </c>
      <c r="F15">
        <f ca="1">$C$3*EXP(-$A$1*AmgEmpWS!$A15)</f>
        <v>7.1666625458434998</v>
      </c>
      <c r="G15">
        <f ca="1">$C$3*EXP(-$A$1*AmgEmpWS!$A15)</f>
        <v>7.1666625458434998</v>
      </c>
      <c r="H15">
        <f ca="1">$C$3*EXP(-$A$1*AmgEmpWS!$A15)</f>
        <v>7.1666625458434998</v>
      </c>
      <c r="I15">
        <v>15</v>
      </c>
      <c r="J15">
        <f>((Q15-EmpiricAMGcalc!$T$11)^2)/EmpiricAMGcalc!$T$11</f>
        <v>4.4167529196612705</v>
      </c>
      <c r="K15">
        <f>((R15-EmpiricAMGcalc!$T$12)^2)/EmpiricAMGcalc!$T$12</f>
        <v>75.6124417175741</v>
      </c>
      <c r="L15" s="12">
        <f t="shared" si="0"/>
        <v>1600</v>
      </c>
      <c r="M15" s="12">
        <v>12</v>
      </c>
      <c r="N15" s="5">
        <f t="shared" si="1"/>
        <v>80.029194637235378</v>
      </c>
      <c r="O15" s="14">
        <v>800</v>
      </c>
      <c r="P15" s="14">
        <v>0.5</v>
      </c>
      <c r="Q15">
        <f t="shared" si="2"/>
        <v>29.398673225153932</v>
      </c>
      <c r="R15">
        <f t="shared" si="3"/>
        <v>4.5977707425062704</v>
      </c>
      <c r="S15">
        <f t="shared" si="4"/>
        <v>311.85901654995672</v>
      </c>
    </row>
    <row r="16" spans="1:27" x14ac:dyDescent="0.25">
      <c r="A16">
        <v>6.5</v>
      </c>
      <c r="B16">
        <f ca="1">HLOOKUP(EmpiricAMGcalc!$J$32,AmgEmpWS!$C$1:$H$100,I16,FALSE)</f>
        <v>6.6112415391817789</v>
      </c>
      <c r="C16">
        <f ca="1">$C$3*EXP(-$A$1*AmgEmpWS!$A16)</f>
        <v>6.6112415391817789</v>
      </c>
      <c r="D16">
        <f ca="1">$C$3*EXP(-$A$1*AmgEmpWS!$A16)</f>
        <v>6.6112415391817789</v>
      </c>
      <c r="E16">
        <f ca="1">$C$3*EXP(-$A$1*AmgEmpWS!$A16)</f>
        <v>6.6112415391817789</v>
      </c>
      <c r="F16">
        <f ca="1">$C$3*EXP(-$A$1*AmgEmpWS!$A16)</f>
        <v>6.6112415391817789</v>
      </c>
      <c r="G16">
        <f ca="1">$C$3*EXP(-$A$1*AmgEmpWS!$A16)</f>
        <v>6.6112415391817789</v>
      </c>
      <c r="H16">
        <f ca="1">$C$3*EXP(-$A$1*AmgEmpWS!$A16)</f>
        <v>6.6112415391817789</v>
      </c>
      <c r="I16">
        <v>16</v>
      </c>
      <c r="J16">
        <f>((Q16-EmpiricAMGcalc!$T$11)^2)/EmpiricAMGcalc!$T$11</f>
        <v>6.3124862634271111</v>
      </c>
      <c r="K16">
        <f>((R16-EmpiricAMGcalc!$T$12)^2)/EmpiricAMGcalc!$T$12</f>
        <v>85.937772896969221</v>
      </c>
      <c r="L16" s="12">
        <f t="shared" si="0"/>
        <v>1700</v>
      </c>
      <c r="M16" s="12">
        <v>12</v>
      </c>
      <c r="N16" s="5">
        <f t="shared" si="1"/>
        <v>92.250259160396325</v>
      </c>
      <c r="O16" s="14">
        <v>850</v>
      </c>
      <c r="P16" s="14">
        <v>0.5</v>
      </c>
      <c r="Q16">
        <f t="shared" si="2"/>
        <v>31.236090301726051</v>
      </c>
      <c r="R16">
        <f t="shared" si="3"/>
        <v>4.8851314139129114</v>
      </c>
      <c r="S16">
        <f t="shared" si="4"/>
        <v>331.35020508432899</v>
      </c>
    </row>
    <row r="17" spans="1:19" x14ac:dyDescent="0.25">
      <c r="A17">
        <v>7</v>
      </c>
      <c r="B17">
        <f ca="1">HLOOKUP(EmpiricAMGcalc!$J$32,AmgEmpWS!$C$1:$H$100,I17,FALSE)</f>
        <v>6.0988660216396822</v>
      </c>
      <c r="C17">
        <f ca="1">$C$3*EXP(-$A$1*AmgEmpWS!$A17)</f>
        <v>6.0988660216396822</v>
      </c>
      <c r="D17">
        <f ca="1">$C$3*EXP(-$A$1*AmgEmpWS!$A17)</f>
        <v>6.0988660216396822</v>
      </c>
      <c r="E17">
        <f ca="1">$C$3*EXP(-$A$1*AmgEmpWS!$A17)</f>
        <v>6.0988660216396822</v>
      </c>
      <c r="F17">
        <f ca="1">$C$3*EXP(-$A$1*AmgEmpWS!$A17)</f>
        <v>6.0988660216396822</v>
      </c>
      <c r="G17">
        <f ca="1">$C$3*EXP(-$A$1*AmgEmpWS!$A17)</f>
        <v>6.0988660216396822</v>
      </c>
      <c r="H17">
        <f ca="1">$C$3*EXP(-$A$1*AmgEmpWS!$A17)</f>
        <v>6.0988660216396822</v>
      </c>
      <c r="I17">
        <v>17</v>
      </c>
      <c r="J17">
        <f>((Q17-EmpiricAMGcalc!$T$11)^2)/EmpiricAMGcalc!$T$11</f>
        <v>8.5458297585208403</v>
      </c>
      <c r="K17">
        <f>((R17-EmpiricAMGcalc!$T$12)^2)/EmpiricAMGcalc!$T$12</f>
        <v>96.92371332013461</v>
      </c>
      <c r="L17" s="12">
        <f t="shared" si="0"/>
        <v>1800</v>
      </c>
      <c r="M17" s="12">
        <v>12</v>
      </c>
      <c r="N17" s="5">
        <f t="shared" si="1"/>
        <v>105.46954307865545</v>
      </c>
      <c r="O17" s="14">
        <v>900</v>
      </c>
      <c r="P17" s="14">
        <v>0.5</v>
      </c>
      <c r="Q17">
        <f t="shared" si="2"/>
        <v>33.073507378298174</v>
      </c>
      <c r="R17">
        <f t="shared" si="3"/>
        <v>5.1724920853195542</v>
      </c>
      <c r="S17">
        <f t="shared" si="4"/>
        <v>350.84139361870132</v>
      </c>
    </row>
    <row r="18" spans="1:19" x14ac:dyDescent="0.25">
      <c r="A18">
        <v>7.5</v>
      </c>
      <c r="B18">
        <f ca="1">HLOOKUP(EmpiricAMGcalc!$J$32,AmgEmpWS!$C$1:$H$100,I18,FALSE)</f>
        <v>5.6261999398246951</v>
      </c>
      <c r="C18">
        <f ca="1">$C$3*EXP(-$A$1*AmgEmpWS!$A18)</f>
        <v>5.6261999398246951</v>
      </c>
      <c r="D18">
        <f ca="1">$C$3*EXP(-$A$1*AmgEmpWS!$A18)</f>
        <v>5.6261999398246951</v>
      </c>
      <c r="E18">
        <f ca="1">$C$3*EXP(-$A$1*AmgEmpWS!$A18)</f>
        <v>5.6261999398246951</v>
      </c>
      <c r="F18">
        <f ca="1">$C$3*EXP(-$A$1*AmgEmpWS!$A18)</f>
        <v>5.6261999398246951</v>
      </c>
      <c r="G18">
        <f ca="1">$C$3*EXP(-$A$1*AmgEmpWS!$A18)</f>
        <v>5.6261999398246951</v>
      </c>
      <c r="H18">
        <f ca="1">$C$3*EXP(-$A$1*AmgEmpWS!$A18)</f>
        <v>5.6261999398246951</v>
      </c>
      <c r="I18">
        <v>18</v>
      </c>
      <c r="J18">
        <f>((Q18-EmpiricAMGcalc!$T$11)^2)/EmpiricAMGcalc!$T$11</f>
        <v>11.116783404942442</v>
      </c>
      <c r="K18">
        <f>((R18-EmpiricAMGcalc!$T$12)^2)/EmpiricAMGcalc!$T$12</f>
        <v>108.57026298707014</v>
      </c>
      <c r="L18" s="12">
        <f t="shared" si="0"/>
        <v>1900</v>
      </c>
      <c r="M18" s="12">
        <v>12</v>
      </c>
      <c r="N18" s="5">
        <f t="shared" si="1"/>
        <v>119.68704639201258</v>
      </c>
      <c r="O18" s="14">
        <v>950</v>
      </c>
      <c r="P18" s="14">
        <v>0.5</v>
      </c>
      <c r="Q18">
        <f t="shared" si="2"/>
        <v>34.91092445487029</v>
      </c>
      <c r="R18">
        <f t="shared" si="3"/>
        <v>5.4598527567261952</v>
      </c>
      <c r="S18">
        <f t="shared" si="4"/>
        <v>370.33258215307359</v>
      </c>
    </row>
    <row r="19" spans="1:19" x14ac:dyDescent="0.25">
      <c r="A19">
        <v>8</v>
      </c>
      <c r="B19">
        <f ca="1">HLOOKUP(EmpiricAMGcalc!$J$32,AmgEmpWS!$C$1:$H$100,I19,FALSE)</f>
        <v>5.1901657866511348</v>
      </c>
      <c r="C19">
        <f ca="1">$C$3*EXP(-$A$1*AmgEmpWS!$A19)</f>
        <v>5.1901657866511348</v>
      </c>
      <c r="D19">
        <f ca="1">$C$3*EXP(-$A$1*AmgEmpWS!$A19)</f>
        <v>5.1901657866511348</v>
      </c>
      <c r="E19">
        <f ca="1">$C$3*EXP(-$A$1*AmgEmpWS!$A19)</f>
        <v>5.1901657866511348</v>
      </c>
      <c r="F19">
        <f ca="1">$C$3*EXP(-$A$1*AmgEmpWS!$A19)</f>
        <v>5.1901657866511348</v>
      </c>
      <c r="G19">
        <f ca="1">$C$3*EXP(-$A$1*AmgEmpWS!$A19)</f>
        <v>5.1901657866511348</v>
      </c>
      <c r="H19">
        <f ca="1">$C$3*EXP(-$A$1*AmgEmpWS!$A19)</f>
        <v>5.1901657866511348</v>
      </c>
      <c r="I19">
        <v>19</v>
      </c>
      <c r="J19">
        <f>((Q19-EmpiricAMGcalc!$T$11)^2)/EmpiricAMGcalc!$T$11</f>
        <v>14.025347202691941</v>
      </c>
      <c r="K19">
        <f>((R19-EmpiricAMGcalc!$T$12)^2)/EmpiricAMGcalc!$T$12</f>
        <v>120.87742189777592</v>
      </c>
      <c r="L19" s="12">
        <f t="shared" si="0"/>
        <v>2000</v>
      </c>
      <c r="M19" s="12">
        <v>12</v>
      </c>
      <c r="N19" s="5">
        <f t="shared" si="1"/>
        <v>134.90276910046785</v>
      </c>
      <c r="O19" s="14">
        <v>1000</v>
      </c>
      <c r="P19" s="14">
        <v>0.5</v>
      </c>
      <c r="Q19">
        <f t="shared" si="2"/>
        <v>36.748341531442414</v>
      </c>
      <c r="R19">
        <f t="shared" si="3"/>
        <v>5.7472134281328371</v>
      </c>
      <c r="S19">
        <f t="shared" si="4"/>
        <v>389.82377068744586</v>
      </c>
    </row>
    <row r="20" spans="1:19" x14ac:dyDescent="0.25">
      <c r="A20">
        <v>8.5</v>
      </c>
      <c r="B20">
        <f ca="1">HLOOKUP(EmpiricAMGcalc!$J$32,AmgEmpWS!$C$1:$H$100,I20,FALSE)</f>
        <v>4.7879245638332826</v>
      </c>
      <c r="C20">
        <f ca="1">C19+C3</f>
        <v>24.058090314953024</v>
      </c>
      <c r="D20">
        <f ca="1">$C$3*EXP(-$A$1*AmgEmpWS!$A20)</f>
        <v>4.7879245638332826</v>
      </c>
      <c r="E20">
        <f ca="1">$C$3*EXP(-$A$1*AmgEmpWS!$A20)</f>
        <v>4.7879245638332826</v>
      </c>
      <c r="F20">
        <f ca="1">$C$3*EXP(-$A$1*AmgEmpWS!$A20)</f>
        <v>4.7879245638332826</v>
      </c>
      <c r="G20">
        <f ca="1">$C$3*EXP(-$A$1*AmgEmpWS!$A20)</f>
        <v>4.7879245638332826</v>
      </c>
      <c r="H20">
        <f ca="1">$C$3*EXP(-$A$1*AmgEmpWS!$A20)</f>
        <v>4.7879245638332826</v>
      </c>
      <c r="I20">
        <v>20</v>
      </c>
      <c r="J20">
        <f>((Q20-EmpiricAMGcalc!$T$11)^2)/EmpiricAMGcalc!$T$11</f>
        <v>11.264319269649857</v>
      </c>
      <c r="K20">
        <f>((R20-EmpiricAMGcalc!$T$12)^2)/EmpiricAMGcalc!$T$12</f>
        <v>8.6307288794473854E-3</v>
      </c>
      <c r="L20" s="12">
        <f t="shared" si="0"/>
        <v>200</v>
      </c>
      <c r="M20" s="12">
        <v>18</v>
      </c>
      <c r="N20" s="5">
        <f t="shared" si="1"/>
        <v>11.272949998529304</v>
      </c>
      <c r="O20" s="14">
        <v>150</v>
      </c>
      <c r="P20" s="14">
        <v>0.5</v>
      </c>
      <c r="Q20">
        <f t="shared" si="2"/>
        <v>4.9904568559533731</v>
      </c>
      <c r="R20">
        <f t="shared" si="3"/>
        <v>0.29645085811760474</v>
      </c>
      <c r="S20">
        <f t="shared" si="4"/>
        <v>38.98237706874459</v>
      </c>
    </row>
    <row r="21" spans="1:19" x14ac:dyDescent="0.25">
      <c r="A21">
        <v>9</v>
      </c>
      <c r="B21">
        <f ca="1">HLOOKUP(EmpiricAMGcalc!$J$32,AmgEmpWS!$C$1:$H$100,I21,FALSE)</f>
        <v>4.4168572972983178</v>
      </c>
      <c r="C21">
        <f t="shared" ref="C21:C35" ca="1" si="5">$C$20*EXP(-$A$1*(A21-8.5))</f>
        <v>22.193572674333868</v>
      </c>
      <c r="D21">
        <f ca="1">$C$3*EXP(-$A$1*AmgEmpWS!$A21)</f>
        <v>4.4168572972983178</v>
      </c>
      <c r="E21">
        <f ca="1">$C$3*EXP(-$A$1*AmgEmpWS!$A21)</f>
        <v>4.4168572972983178</v>
      </c>
      <c r="F21">
        <f ca="1">$C$3*EXP(-$A$1*AmgEmpWS!$A21)</f>
        <v>4.4168572972983178</v>
      </c>
      <c r="G21">
        <f ca="1">$C$3*EXP(-$A$1*AmgEmpWS!$A21)</f>
        <v>4.4168572972983178</v>
      </c>
      <c r="H21">
        <f ca="1">$C$3*EXP(-$A$1*AmgEmpWS!$A21)</f>
        <v>4.4168572972983178</v>
      </c>
      <c r="I21">
        <v>21</v>
      </c>
      <c r="J21">
        <f>((Q21-EmpiricAMGcalc!$T$11)^2)/EmpiricAMGcalc!$T$11</f>
        <v>8.905862573558295</v>
      </c>
      <c r="K21">
        <f>((R21-EmpiricAMGcalc!$T$12)^2)/EmpiricAMGcalc!$T$12</f>
        <v>8.4410947445777373E-2</v>
      </c>
      <c r="L21" s="12">
        <f t="shared" si="0"/>
        <v>266.66666666666669</v>
      </c>
      <c r="M21" s="12">
        <v>18</v>
      </c>
      <c r="N21" s="5">
        <f t="shared" si="1"/>
        <v>8.9902735210040721</v>
      </c>
      <c r="O21" s="14">
        <v>200</v>
      </c>
      <c r="P21" s="14">
        <v>0.5</v>
      </c>
      <c r="Q21">
        <f t="shared" si="2"/>
        <v>6.6539424746044977</v>
      </c>
      <c r="R21">
        <f t="shared" si="3"/>
        <v>0.39526781082347301</v>
      </c>
      <c r="S21">
        <f t="shared" si="4"/>
        <v>51.976502758326113</v>
      </c>
    </row>
    <row r="22" spans="1:19" x14ac:dyDescent="0.25">
      <c r="A22">
        <v>9.5</v>
      </c>
      <c r="B22">
        <f ca="1">HLOOKUP(EmpiricAMGcalc!$J$32,AmgEmpWS!$C$1:$H$100,I22,FALSE)</f>
        <v>4.0745479851667721</v>
      </c>
      <c r="C22">
        <f t="shared" ca="1" si="5"/>
        <v>20.473556363066663</v>
      </c>
      <c r="D22">
        <f ca="1">$C$3*EXP(-$A$1*AmgEmpWS!$A22)</f>
        <v>4.0745479851667721</v>
      </c>
      <c r="E22">
        <f ca="1">$C$3*EXP(-$A$1*AmgEmpWS!$A22)</f>
        <v>4.0745479851667721</v>
      </c>
      <c r="F22">
        <f ca="1">$C$3*EXP(-$A$1*AmgEmpWS!$A22)</f>
        <v>4.0745479851667721</v>
      </c>
      <c r="G22">
        <f ca="1">$C$3*EXP(-$A$1*AmgEmpWS!$A22)</f>
        <v>4.0745479851667721</v>
      </c>
      <c r="H22">
        <f ca="1">$C$3*EXP(-$A$1*AmgEmpWS!$A22)</f>
        <v>4.0745479851667721</v>
      </c>
      <c r="I22">
        <v>22</v>
      </c>
      <c r="J22">
        <f>((Q22-EmpiricAMGcalc!$T$11)^2)/EmpiricAMGcalc!$T$11</f>
        <v>6.8241243178126494</v>
      </c>
      <c r="K22">
        <f>((R22-EmpiricAMGcalc!$T$12)^2)/EmpiricAMGcalc!$T$12</f>
        <v>0.23830948714869768</v>
      </c>
      <c r="L22" s="12">
        <f t="shared" si="0"/>
        <v>333.33333333333331</v>
      </c>
      <c r="M22" s="12">
        <v>18</v>
      </c>
      <c r="N22" s="5">
        <f t="shared" si="1"/>
        <v>7.0624338049613469</v>
      </c>
      <c r="O22" s="14">
        <v>250</v>
      </c>
      <c r="P22" s="14">
        <v>0.5</v>
      </c>
      <c r="Q22">
        <f t="shared" si="2"/>
        <v>8.3174280932556215</v>
      </c>
      <c r="R22">
        <f t="shared" si="3"/>
        <v>0.49408476352934122</v>
      </c>
      <c r="S22">
        <f t="shared" si="4"/>
        <v>64.970628447907643</v>
      </c>
    </row>
    <row r="23" spans="1:19" x14ac:dyDescent="0.25">
      <c r="A23">
        <v>10</v>
      </c>
      <c r="B23">
        <f ca="1">HLOOKUP(EmpiricAMGcalc!$J$32,AmgEmpWS!$C$1:$H$100,I23,FALSE)</f>
        <v>3.7587678672755858</v>
      </c>
      <c r="C23">
        <f t="shared" ca="1" si="5"/>
        <v>18.886842434180043</v>
      </c>
      <c r="D23">
        <f ca="1">$C$3*EXP(-$A$1*AmgEmpWS!$A23)</f>
        <v>3.7587678672755858</v>
      </c>
      <c r="E23">
        <f ca="1">$C$3*EXP(-$A$1*AmgEmpWS!$A23)</f>
        <v>3.7587678672755858</v>
      </c>
      <c r="F23">
        <f ca="1">$C$3*EXP(-$A$1*AmgEmpWS!$A23)</f>
        <v>3.7587678672755858</v>
      </c>
      <c r="G23">
        <f ca="1">$C$3*EXP(-$A$1*AmgEmpWS!$A23)</f>
        <v>3.7587678672755858</v>
      </c>
      <c r="H23">
        <f ca="1">$C$3*EXP(-$A$1*AmgEmpWS!$A23)</f>
        <v>3.7587678672755858</v>
      </c>
      <c r="I23">
        <v>23</v>
      </c>
      <c r="J23">
        <f>((Q23-EmpiricAMGcalc!$T$11)^2)/EmpiricAMGcalc!$T$11</f>
        <v>5.0191045024129126</v>
      </c>
      <c r="K23">
        <f>((R23-EmpiricAMGcalc!$T$12)^2)/EmpiricAMGcalc!$T$12</f>
        <v>0.47032634798820849</v>
      </c>
      <c r="L23" s="12">
        <f t="shared" si="0"/>
        <v>400</v>
      </c>
      <c r="M23" s="12">
        <v>18</v>
      </c>
      <c r="N23" s="5">
        <f t="shared" si="1"/>
        <v>5.4894308504011207</v>
      </c>
      <c r="O23" s="14">
        <v>300</v>
      </c>
      <c r="P23" s="14">
        <v>0.5</v>
      </c>
      <c r="Q23">
        <f t="shared" si="2"/>
        <v>9.9809137119067461</v>
      </c>
      <c r="R23">
        <f t="shared" si="3"/>
        <v>0.59290171623520949</v>
      </c>
      <c r="S23">
        <f t="shared" si="4"/>
        <v>77.96475413748918</v>
      </c>
    </row>
    <row r="24" spans="1:19" x14ac:dyDescent="0.25">
      <c r="A24">
        <v>10.5</v>
      </c>
      <c r="B24">
        <f ca="1">HLOOKUP(EmpiricAMGcalc!$J$32,AmgEmpWS!$C$1:$H$100,I24,FALSE)</f>
        <v>3.4674609138233468</v>
      </c>
      <c r="C24">
        <f t="shared" ca="1" si="5"/>
        <v>17.423099866373828</v>
      </c>
      <c r="D24">
        <f ca="1">$C$3*EXP(-$A$1*AmgEmpWS!$A24)</f>
        <v>3.4674609138233468</v>
      </c>
      <c r="E24">
        <f ca="1">$C$3*EXP(-$A$1*AmgEmpWS!$A24)</f>
        <v>3.4674609138233468</v>
      </c>
      <c r="F24">
        <f ca="1">$C$3*EXP(-$A$1*AmgEmpWS!$A24)</f>
        <v>3.4674609138233468</v>
      </c>
      <c r="G24">
        <f ca="1">$C$3*EXP(-$A$1*AmgEmpWS!$A24)</f>
        <v>3.4674609138233468</v>
      </c>
      <c r="H24">
        <f ca="1">$C$3*EXP(-$A$1*AmgEmpWS!$A24)</f>
        <v>3.4674609138233468</v>
      </c>
      <c r="I24">
        <v>24</v>
      </c>
      <c r="J24">
        <f>((Q24-EmpiricAMGcalc!$T$11)^2)/EmpiricAMGcalc!$T$11</f>
        <v>3.4908031273590878</v>
      </c>
      <c r="K24">
        <f>((R24-EmpiricAMGcalc!$T$12)^2)/EmpiricAMGcalc!$T$12</f>
        <v>0.78046152996430962</v>
      </c>
      <c r="L24" s="12">
        <f t="shared" si="0"/>
        <v>466.66666666666669</v>
      </c>
      <c r="M24" s="12">
        <v>18</v>
      </c>
      <c r="N24" s="5">
        <f t="shared" si="1"/>
        <v>4.2712646573233979</v>
      </c>
      <c r="O24" s="14">
        <v>350</v>
      </c>
      <c r="P24" s="14">
        <v>0.5</v>
      </c>
      <c r="Q24">
        <f t="shared" si="2"/>
        <v>11.644399330557871</v>
      </c>
      <c r="R24">
        <f t="shared" si="3"/>
        <v>0.6917186689410777</v>
      </c>
      <c r="S24">
        <f t="shared" si="4"/>
        <v>90.958879827070717</v>
      </c>
    </row>
    <row r="25" spans="1:19" x14ac:dyDescent="0.25">
      <c r="A25">
        <v>11</v>
      </c>
      <c r="B25">
        <f ca="1">HLOOKUP(EmpiricAMGcalc!$J$32,AmgEmpWS!$C$1:$H$100,I25,FALSE)</f>
        <v>3.1987304386549704</v>
      </c>
      <c r="C25">
        <f t="shared" ca="1" si="5"/>
        <v>16.072798299215268</v>
      </c>
      <c r="D25">
        <f ca="1">$C$3*EXP(-$A$1*AmgEmpWS!$A25)</f>
        <v>3.1987304386549704</v>
      </c>
      <c r="E25">
        <f ca="1">$C$3*EXP(-$A$1*AmgEmpWS!$A25)</f>
        <v>3.1987304386549704</v>
      </c>
      <c r="F25">
        <f ca="1">$C$3*EXP(-$A$1*AmgEmpWS!$A25)</f>
        <v>3.1987304386549704</v>
      </c>
      <c r="G25">
        <f ca="1">$C$3*EXP(-$A$1*AmgEmpWS!$A25)</f>
        <v>3.1987304386549704</v>
      </c>
      <c r="H25">
        <f ca="1">$C$3*EXP(-$A$1*AmgEmpWS!$A25)</f>
        <v>3.1987304386549704</v>
      </c>
      <c r="I25">
        <v>25</v>
      </c>
      <c r="J25">
        <f>((Q25-EmpiricAMGcalc!$T$11)^2)/EmpiricAMGcalc!$T$11</f>
        <v>2.2392201926511746</v>
      </c>
      <c r="K25">
        <f>((R25-EmpiricAMGcalc!$T$12)^2)/EmpiricAMGcalc!$T$12</f>
        <v>1.1687150330770015</v>
      </c>
      <c r="L25" s="12">
        <f t="shared" si="0"/>
        <v>533.33333333333337</v>
      </c>
      <c r="M25" s="12">
        <v>18</v>
      </c>
      <c r="N25" s="5">
        <f t="shared" si="1"/>
        <v>3.4079352257281759</v>
      </c>
      <c r="O25" s="14">
        <v>400</v>
      </c>
      <c r="P25" s="14">
        <v>0.5</v>
      </c>
      <c r="Q25">
        <f t="shared" si="2"/>
        <v>13.307884949208995</v>
      </c>
      <c r="R25">
        <f t="shared" si="3"/>
        <v>0.79053562164694602</v>
      </c>
      <c r="S25">
        <f t="shared" si="4"/>
        <v>103.95300551665223</v>
      </c>
    </row>
    <row r="26" spans="1:19" x14ac:dyDescent="0.25">
      <c r="A26">
        <v>11.5</v>
      </c>
      <c r="B26">
        <f ca="1">HLOOKUP(EmpiricAMGcalc!$J$32,AmgEmpWS!$C$1:$H$100,I26,FALSE)</f>
        <v>2.9508267500255059</v>
      </c>
      <c r="C26">
        <f t="shared" ca="1" si="5"/>
        <v>14.827145981401239</v>
      </c>
      <c r="D26">
        <f ca="1">$C$3*EXP(-$A$1*AmgEmpWS!$A26)</f>
        <v>2.9508267500255059</v>
      </c>
      <c r="E26">
        <f ca="1">$C$3*EXP(-$A$1*AmgEmpWS!$A26)</f>
        <v>2.9508267500255059</v>
      </c>
      <c r="F26">
        <f ca="1">$C$3*EXP(-$A$1*AmgEmpWS!$A26)</f>
        <v>2.9508267500255059</v>
      </c>
      <c r="G26">
        <f ca="1">$C$3*EXP(-$A$1*AmgEmpWS!$A26)</f>
        <v>2.9508267500255059</v>
      </c>
      <c r="H26">
        <f ca="1">$C$3*EXP(-$A$1*AmgEmpWS!$A26)</f>
        <v>2.9508267500255059</v>
      </c>
      <c r="I26">
        <v>26</v>
      </c>
      <c r="J26">
        <f>((Q26-EmpiricAMGcalc!$T$11)^2)/EmpiricAMGcalc!$T$11</f>
        <v>1.2643556982891726</v>
      </c>
      <c r="K26">
        <f>((R26-EmpiricAMGcalc!$T$12)^2)/EmpiricAMGcalc!$T$12</f>
        <v>1.6350868573262833</v>
      </c>
      <c r="L26" s="12">
        <f t="shared" si="0"/>
        <v>600</v>
      </c>
      <c r="M26" s="12">
        <v>18</v>
      </c>
      <c r="N26" s="5">
        <f t="shared" si="1"/>
        <v>2.8994425556154559</v>
      </c>
      <c r="O26" s="14">
        <v>450</v>
      </c>
      <c r="P26" s="14">
        <v>0.5</v>
      </c>
      <c r="Q26">
        <f t="shared" si="2"/>
        <v>14.97137056786012</v>
      </c>
      <c r="R26">
        <f t="shared" si="3"/>
        <v>0.88935257435281423</v>
      </c>
      <c r="S26">
        <f t="shared" si="4"/>
        <v>116.94713120623376</v>
      </c>
    </row>
    <row r="27" spans="1:19" x14ac:dyDescent="0.25">
      <c r="A27">
        <v>12</v>
      </c>
      <c r="B27">
        <f ca="1">HLOOKUP(EmpiricAMGcalc!$J$32,AmgEmpWS!$C$1:$H$100,I27,FALSE)</f>
        <v>2.7221357584377892</v>
      </c>
      <c r="C27">
        <f t="shared" ca="1" si="5"/>
        <v>13.678032528070521</v>
      </c>
      <c r="D27">
        <f ca="1">$C$3*EXP(-$A$1*AmgEmpWS!$A27)</f>
        <v>2.7221357584377892</v>
      </c>
      <c r="E27">
        <f ca="1">$C$3*EXP(-$A$1*AmgEmpWS!$A27)</f>
        <v>2.7221357584377892</v>
      </c>
      <c r="F27">
        <f ca="1">$C$3*EXP(-$A$1*AmgEmpWS!$A27)</f>
        <v>2.7221357584377892</v>
      </c>
      <c r="G27">
        <f ca="1">$C$3*EXP(-$A$1*AmgEmpWS!$A27)</f>
        <v>2.7221357584377892</v>
      </c>
      <c r="H27">
        <f ca="1">$C$3*EXP(-$A$1*AmgEmpWS!$A27)</f>
        <v>2.7221357584377892</v>
      </c>
      <c r="I27">
        <v>27</v>
      </c>
      <c r="J27">
        <f>((Q27-EmpiricAMGcalc!$T$11)^2)/EmpiricAMGcalc!$T$11</f>
        <v>0.56620964427308274</v>
      </c>
      <c r="K27">
        <f>((R27-EmpiricAMGcalc!$T$12)^2)/EmpiricAMGcalc!$T$12</f>
        <v>2.1795770027121555</v>
      </c>
      <c r="L27" s="12">
        <f t="shared" si="0"/>
        <v>666.66666666666663</v>
      </c>
      <c r="M27" s="12">
        <v>18</v>
      </c>
      <c r="N27" s="5">
        <f t="shared" si="1"/>
        <v>2.7457866469852381</v>
      </c>
      <c r="O27" s="14">
        <v>500</v>
      </c>
      <c r="P27" s="14">
        <v>0.5</v>
      </c>
      <c r="Q27">
        <f t="shared" si="2"/>
        <v>16.634856186511243</v>
      </c>
      <c r="R27">
        <f t="shared" si="3"/>
        <v>0.98816952705868244</v>
      </c>
      <c r="S27">
        <f t="shared" si="4"/>
        <v>129.94125689581529</v>
      </c>
    </row>
    <row r="28" spans="1:19" x14ac:dyDescent="0.25">
      <c r="A28">
        <v>12.5</v>
      </c>
      <c r="B28">
        <f ca="1">HLOOKUP(EmpiricAMGcalc!$J$32,AmgEmpWS!$C$1:$H$100,I28,FALSE)</f>
        <v>2.5111684673800752</v>
      </c>
      <c r="C28">
        <f t="shared" ca="1" si="5"/>
        <v>12.617976114461538</v>
      </c>
      <c r="D28">
        <f ca="1">D27+D3</f>
        <v>21.590060286739678</v>
      </c>
      <c r="E28">
        <f ca="1">$C$3*EXP(-$A$1*AmgEmpWS!$A28)</f>
        <v>2.5111684673800752</v>
      </c>
      <c r="F28">
        <f ca="1">$C$3*EXP(-$A$1*AmgEmpWS!$A28)</f>
        <v>2.5111684673800752</v>
      </c>
      <c r="G28">
        <f ca="1">$C$3*EXP(-$A$1*AmgEmpWS!$A28)</f>
        <v>2.5111684673800752</v>
      </c>
      <c r="H28">
        <f ca="1">$C$3*EXP(-$A$1*AmgEmpWS!$A28)</f>
        <v>2.5111684673800752</v>
      </c>
      <c r="I28">
        <v>28</v>
      </c>
      <c r="J28">
        <f>((Q28-EmpiricAMGcalc!$T$11)^2)/EmpiricAMGcalc!$T$11</f>
        <v>0.14478203060290379</v>
      </c>
      <c r="K28">
        <f>((R28-EmpiricAMGcalc!$T$12)^2)/EmpiricAMGcalc!$T$12</f>
        <v>2.8021854692346175</v>
      </c>
      <c r="L28" s="12">
        <f t="shared" si="0"/>
        <v>733.33333333333337</v>
      </c>
      <c r="M28" s="12">
        <v>18</v>
      </c>
      <c r="N28" s="5">
        <f t="shared" si="1"/>
        <v>2.9469674998375215</v>
      </c>
      <c r="O28" s="14">
        <v>550</v>
      </c>
      <c r="P28" s="14">
        <v>0.5</v>
      </c>
      <c r="Q28">
        <f t="shared" si="2"/>
        <v>18.298341805162366</v>
      </c>
      <c r="R28">
        <f t="shared" si="3"/>
        <v>1.0869864797645505</v>
      </c>
      <c r="S28">
        <f t="shared" si="4"/>
        <v>142.93538258539684</v>
      </c>
    </row>
    <row r="29" spans="1:19" x14ac:dyDescent="0.25">
      <c r="A29">
        <v>13</v>
      </c>
      <c r="B29">
        <f ca="1">HLOOKUP(EmpiricAMGcalc!$J$32,AmgEmpWS!$C$1:$H$100,I29,FALSE)</f>
        <v>2.3165512785383404</v>
      </c>
      <c r="C29">
        <f t="shared" ca="1" si="5"/>
        <v>11.640074762096006</v>
      </c>
      <c r="D29">
        <f t="shared" ref="D29:D51" ca="1" si="6">$D$28*EXP(-$A$1*(A29-12.5))</f>
        <v>19.91681657788066</v>
      </c>
      <c r="E29">
        <f ca="1">$C$3*EXP(-$A$1*AmgEmpWS!$A29)</f>
        <v>2.3165512785383404</v>
      </c>
      <c r="F29">
        <f ca="1">$C$3*EXP(-$A$1*AmgEmpWS!$A29)</f>
        <v>2.3165512785383404</v>
      </c>
      <c r="G29">
        <f ca="1">$C$3*EXP(-$A$1*AmgEmpWS!$A29)</f>
        <v>2.3165512785383404</v>
      </c>
      <c r="H29">
        <f ca="1">$C$3*EXP(-$A$1*AmgEmpWS!$A29)</f>
        <v>2.3165512785383404</v>
      </c>
      <c r="I29">
        <v>29</v>
      </c>
      <c r="J29">
        <f>((Q29-EmpiricAMGcalc!$T$11)^2)/EmpiricAMGcalc!$T$11</f>
        <v>7.2857278635736782E-5</v>
      </c>
      <c r="K29">
        <f>((R29-EmpiricAMGcalc!$T$12)^2)/EmpiricAMGcalc!$T$12</f>
        <v>3.5029122568936719</v>
      </c>
      <c r="L29" s="12">
        <f t="shared" si="0"/>
        <v>800</v>
      </c>
      <c r="M29" s="12">
        <v>18</v>
      </c>
      <c r="N29" s="5">
        <f t="shared" si="1"/>
        <v>3.5029851141723078</v>
      </c>
      <c r="O29" s="14">
        <v>600</v>
      </c>
      <c r="P29" s="14">
        <v>0.5</v>
      </c>
      <c r="Q29">
        <f t="shared" si="2"/>
        <v>19.961827423813492</v>
      </c>
      <c r="R29">
        <f t="shared" si="3"/>
        <v>1.185803432470419</v>
      </c>
      <c r="S29">
        <f t="shared" si="4"/>
        <v>155.92950827497836</v>
      </c>
    </row>
    <row r="30" spans="1:19" x14ac:dyDescent="0.25">
      <c r="A30">
        <v>13.5</v>
      </c>
      <c r="B30">
        <f ca="1">HLOOKUP(EmpiricAMGcalc!$J$32,AmgEmpWS!$C$1:$H$100,I30,FALSE)</f>
        <v>2.137017048360935</v>
      </c>
      <c r="C30">
        <f t="shared" ca="1" si="5"/>
        <v>10.73796140031498</v>
      </c>
      <c r="D30">
        <f t="shared" ca="1" si="6"/>
        <v>18.373250344306687</v>
      </c>
      <c r="E30">
        <f ca="1">$C$3*EXP(-$A$1*AmgEmpWS!$A30)</f>
        <v>2.137017048360935</v>
      </c>
      <c r="F30">
        <f ca="1">$C$3*EXP(-$A$1*AmgEmpWS!$A30)</f>
        <v>2.137017048360935</v>
      </c>
      <c r="G30">
        <f ca="1">$C$3*EXP(-$A$1*AmgEmpWS!$A30)</f>
        <v>2.137017048360935</v>
      </c>
      <c r="H30">
        <f ca="1">$C$3*EXP(-$A$1*AmgEmpWS!$A30)</f>
        <v>2.137017048360935</v>
      </c>
      <c r="I30">
        <v>30</v>
      </c>
      <c r="J30">
        <f>((Q30-EmpiricAMGcalc!$T$11)^2)/EmpiricAMGcalc!$T$11</f>
        <v>0.13208212430027977</v>
      </c>
      <c r="K30">
        <f>((R30-EmpiricAMGcalc!$T$12)^2)/EmpiricAMGcalc!$T$12</f>
        <v>4.2817573656893169</v>
      </c>
      <c r="L30" s="12">
        <f t="shared" si="0"/>
        <v>866.66666666666663</v>
      </c>
      <c r="M30" s="12">
        <v>18</v>
      </c>
      <c r="N30" s="5">
        <f t="shared" si="1"/>
        <v>4.4138394899895967</v>
      </c>
      <c r="O30" s="14">
        <v>650</v>
      </c>
      <c r="P30" s="14">
        <v>0.5</v>
      </c>
      <c r="Q30">
        <f t="shared" si="2"/>
        <v>21.625313042464619</v>
      </c>
      <c r="R30">
        <f t="shared" si="3"/>
        <v>1.2846203851762874</v>
      </c>
      <c r="S30">
        <f t="shared" si="4"/>
        <v>168.92363396455988</v>
      </c>
    </row>
    <row r="31" spans="1:19" x14ac:dyDescent="0.25">
      <c r="A31">
        <v>14</v>
      </c>
      <c r="B31">
        <f ca="1">HLOOKUP(EmpiricAMGcalc!$J$32,AmgEmpWS!$C$1:$H$100,I31,FALSE)</f>
        <v>1.9713968377452853</v>
      </c>
      <c r="C31">
        <f t="shared" ca="1" si="5"/>
        <v>9.9057624105750932</v>
      </c>
      <c r="D31">
        <f t="shared" ca="1" si="6"/>
        <v>16.949311497374204</v>
      </c>
      <c r="E31">
        <f ca="1">$C$3*EXP(-$A$1*AmgEmpWS!$A31)</f>
        <v>1.9713968377452853</v>
      </c>
      <c r="F31">
        <f ca="1">$C$3*EXP(-$A$1*AmgEmpWS!$A31)</f>
        <v>1.9713968377452853</v>
      </c>
      <c r="G31">
        <f ca="1">$C$3*EXP(-$A$1*AmgEmpWS!$A31)</f>
        <v>1.9713968377452853</v>
      </c>
      <c r="H31">
        <f ca="1">$C$3*EXP(-$A$1*AmgEmpWS!$A31)</f>
        <v>1.9713968377452853</v>
      </c>
      <c r="I31">
        <v>31</v>
      </c>
      <c r="J31">
        <f>((Q31-EmpiricAMGcalc!$T$11)^2)/EmpiricAMGcalc!$T$11</f>
        <v>0.5408098316678347</v>
      </c>
      <c r="K31">
        <f>((R31-EmpiricAMGcalc!$T$12)^2)/EmpiricAMGcalc!$T$12</f>
        <v>5.1387207956215493</v>
      </c>
      <c r="L31" s="12">
        <f t="shared" si="0"/>
        <v>933.33333333333337</v>
      </c>
      <c r="M31" s="12">
        <v>18</v>
      </c>
      <c r="N31" s="5">
        <f t="shared" si="1"/>
        <v>5.6795306272893837</v>
      </c>
      <c r="O31" s="14">
        <v>700</v>
      </c>
      <c r="P31" s="14">
        <v>0.5</v>
      </c>
      <c r="Q31">
        <f t="shared" si="2"/>
        <v>23.288798661115742</v>
      </c>
      <c r="R31">
        <f t="shared" si="3"/>
        <v>1.3834373378821554</v>
      </c>
      <c r="S31">
        <f t="shared" si="4"/>
        <v>181.91775965414143</v>
      </c>
    </row>
    <row r="32" spans="1:19" x14ac:dyDescent="0.25">
      <c r="A32">
        <v>14.5</v>
      </c>
      <c r="B32">
        <f ca="1">HLOOKUP(EmpiricAMGcalc!$J$32,AmgEmpWS!$C$1:$H$100,I32,FALSE)</f>
        <v>1.8186123011292468</v>
      </c>
      <c r="C32">
        <f t="shared" ca="1" si="5"/>
        <v>9.1380593835887858</v>
      </c>
      <c r="D32">
        <f t="shared" ca="1" si="6"/>
        <v>15.635728836843528</v>
      </c>
      <c r="E32">
        <f ca="1">$C$3*EXP(-$A$1*AmgEmpWS!$A32)</f>
        <v>1.8186123011292468</v>
      </c>
      <c r="F32">
        <f ca="1">$C$3*EXP(-$A$1*AmgEmpWS!$A32)</f>
        <v>1.8186123011292468</v>
      </c>
      <c r="G32">
        <f ca="1">$C$3*EXP(-$A$1*AmgEmpWS!$A32)</f>
        <v>1.8186123011292468</v>
      </c>
      <c r="H32">
        <f ca="1">$C$3*EXP(-$A$1*AmgEmpWS!$A32)</f>
        <v>1.8186123011292468</v>
      </c>
      <c r="I32">
        <v>32</v>
      </c>
      <c r="J32">
        <f>((Q32-EmpiricAMGcalc!$T$11)^2)/EmpiricAMGcalc!$T$11</f>
        <v>1.2262559793813006</v>
      </c>
      <c r="K32">
        <f>((R32-EmpiricAMGcalc!$T$12)^2)/EmpiricAMGcalc!$T$12</f>
        <v>6.0738025466903736</v>
      </c>
      <c r="L32" s="12">
        <f t="shared" si="0"/>
        <v>1000</v>
      </c>
      <c r="M32" s="12">
        <v>18</v>
      </c>
      <c r="N32" s="5">
        <f t="shared" si="1"/>
        <v>7.3000585260716742</v>
      </c>
      <c r="O32" s="14">
        <v>750</v>
      </c>
      <c r="P32" s="14">
        <v>0.5</v>
      </c>
      <c r="Q32">
        <f t="shared" si="2"/>
        <v>24.952284279766864</v>
      </c>
      <c r="R32">
        <f t="shared" si="3"/>
        <v>1.4822542905880236</v>
      </c>
      <c r="S32">
        <f t="shared" si="4"/>
        <v>194.91188534372293</v>
      </c>
    </row>
    <row r="33" spans="1:19" x14ac:dyDescent="0.25">
      <c r="A33">
        <v>15</v>
      </c>
      <c r="B33">
        <f ca="1">HLOOKUP(EmpiricAMGcalc!$J$32,AmgEmpWS!$C$1:$H$100,I33,FALSE)</f>
        <v>1.6776686654328199</v>
      </c>
      <c r="C33">
        <f t="shared" ca="1" si="5"/>
        <v>8.4298538403110257</v>
      </c>
      <c r="D33">
        <f t="shared" ca="1" si="6"/>
        <v>14.423949686521169</v>
      </c>
      <c r="E33">
        <f ca="1">$C$3*EXP(-$A$1*AmgEmpWS!$A33)</f>
        <v>1.6776686654328199</v>
      </c>
      <c r="F33">
        <f ca="1">$C$3*EXP(-$A$1*AmgEmpWS!$A33)</f>
        <v>1.6776686654328199</v>
      </c>
      <c r="G33">
        <f ca="1">$C$3*EXP(-$A$1*AmgEmpWS!$A33)</f>
        <v>1.6776686654328199</v>
      </c>
      <c r="H33">
        <f ca="1">$C$3*EXP(-$A$1*AmgEmpWS!$A33)</f>
        <v>1.6776686654328199</v>
      </c>
      <c r="I33">
        <v>33</v>
      </c>
      <c r="J33">
        <f>((Q33-EmpiricAMGcalc!$T$11)^2)/EmpiricAMGcalc!$T$11</f>
        <v>2.1884205674406796</v>
      </c>
      <c r="K33">
        <f>((R33-EmpiricAMGcalc!$T$12)^2)/EmpiricAMGcalc!$T$12</f>
        <v>7.0870026188957898</v>
      </c>
      <c r="L33" s="12">
        <f t="shared" si="0"/>
        <v>1066.6666666666667</v>
      </c>
      <c r="M33" s="12">
        <v>18</v>
      </c>
      <c r="N33" s="5">
        <f t="shared" si="1"/>
        <v>9.2754231863364698</v>
      </c>
      <c r="O33" s="14">
        <v>800</v>
      </c>
      <c r="P33" s="14">
        <v>0.5</v>
      </c>
      <c r="Q33">
        <f t="shared" si="2"/>
        <v>26.615769898417991</v>
      </c>
      <c r="R33">
        <f t="shared" si="3"/>
        <v>1.581071243293892</v>
      </c>
      <c r="S33">
        <f t="shared" si="4"/>
        <v>207.90601103330445</v>
      </c>
    </row>
    <row r="34" spans="1:19" x14ac:dyDescent="0.25">
      <c r="A34">
        <v>15.5</v>
      </c>
      <c r="B34">
        <f ca="1">HLOOKUP(EmpiricAMGcalc!$J$32,AmgEmpWS!$C$1:$H$100,I34,FALSE)</f>
        <v>1.5476482531364504</v>
      </c>
      <c r="C34">
        <f t="shared" ca="1" si="5"/>
        <v>7.7765346870725027</v>
      </c>
      <c r="D34">
        <f t="shared" ca="1" si="6"/>
        <v>13.306084208179088</v>
      </c>
      <c r="E34">
        <f ca="1">$C$3*EXP(-$A$1*AmgEmpWS!$A34)</f>
        <v>1.5476482531364504</v>
      </c>
      <c r="F34">
        <f ca="1">$C$3*EXP(-$A$1*AmgEmpWS!$A34)</f>
        <v>1.5476482531364504</v>
      </c>
      <c r="G34">
        <f ca="1">$C$3*EXP(-$A$1*AmgEmpWS!$A34)</f>
        <v>1.5476482531364504</v>
      </c>
      <c r="H34">
        <f ca="1">$C$3*EXP(-$A$1*AmgEmpWS!$A34)</f>
        <v>1.5476482531364504</v>
      </c>
      <c r="I34">
        <v>34</v>
      </c>
      <c r="J34">
        <f>((Q34-EmpiricAMGcalc!$T$11)^2)/EmpiricAMGcalc!$T$11</f>
        <v>3.4273035958459679</v>
      </c>
      <c r="K34">
        <f>((R34-EmpiricAMGcalc!$T$12)^2)/EmpiricAMGcalc!$T$12</f>
        <v>8.1783210122377952</v>
      </c>
      <c r="L34" s="12">
        <f t="shared" ref="L34:L65" si="7">O34*24/M34</f>
        <v>1133.3333333333333</v>
      </c>
      <c r="M34" s="12">
        <v>18</v>
      </c>
      <c r="N34" s="5">
        <f t="shared" ref="N34:N65" si="8">SUM(J34:K34)</f>
        <v>11.605624608083764</v>
      </c>
      <c r="O34" s="14">
        <v>850</v>
      </c>
      <c r="P34" s="14">
        <v>0.5</v>
      </c>
      <c r="Q34">
        <f t="shared" ref="Q34:Q65" si="9">O34/$B$1/(1-EXP(-$A$1*M34))</f>
        <v>28.279255517069114</v>
      </c>
      <c r="R34">
        <f t="shared" si="3"/>
        <v>1.6798881959997602</v>
      </c>
      <c r="S34">
        <f t="shared" ref="S34:S65" si="10">O34*24/M34/$B$1/$A$1</f>
        <v>220.90013672288597</v>
      </c>
    </row>
    <row r="35" spans="1:19" x14ac:dyDescent="0.25">
      <c r="A35">
        <v>16</v>
      </c>
      <c r="B35">
        <f ca="1">HLOOKUP(EmpiricAMGcalc!$J$32,AmgEmpWS!$C$1:$H$100,I35,FALSE)</f>
        <v>1.4277045073249712</v>
      </c>
      <c r="C35">
        <f t="shared" ca="1" si="5"/>
        <v>7.1738481929611453</v>
      </c>
      <c r="D35">
        <f t="shared" ca="1" si="6"/>
        <v>12.274854031181464</v>
      </c>
      <c r="E35">
        <f ca="1">$C$3*EXP(-$A$1*AmgEmpWS!$A35)</f>
        <v>1.4277045073249712</v>
      </c>
      <c r="F35">
        <f ca="1">$C$3*EXP(-$A$1*AmgEmpWS!$A35)</f>
        <v>1.4277045073249712</v>
      </c>
      <c r="G35">
        <f ca="1">$C$3*EXP(-$A$1*AmgEmpWS!$A35)</f>
        <v>1.4277045073249712</v>
      </c>
      <c r="H35">
        <f ca="1">$C$3*EXP(-$A$1*AmgEmpWS!$A35)</f>
        <v>1.4277045073249712</v>
      </c>
      <c r="I35">
        <v>35</v>
      </c>
      <c r="J35">
        <f>((Q35-EmpiricAMGcalc!$T$11)^2)/EmpiricAMGcalc!$T$11</f>
        <v>4.9429050645971708</v>
      </c>
      <c r="K35">
        <f>((R35-EmpiricAMGcalc!$T$12)^2)/EmpiricAMGcalc!$T$12</f>
        <v>9.3477577267163898</v>
      </c>
      <c r="L35" s="12">
        <f t="shared" si="7"/>
        <v>1200</v>
      </c>
      <c r="M35" s="12">
        <v>18</v>
      </c>
      <c r="N35" s="5">
        <f t="shared" si="8"/>
        <v>14.290662791313562</v>
      </c>
      <c r="O35" s="14">
        <v>900</v>
      </c>
      <c r="P35" s="14">
        <v>0.5</v>
      </c>
      <c r="Q35">
        <f t="shared" si="9"/>
        <v>29.94274113572024</v>
      </c>
      <c r="R35">
        <f t="shared" si="3"/>
        <v>1.7787051487056285</v>
      </c>
      <c r="S35">
        <f t="shared" si="10"/>
        <v>233.89426241246753</v>
      </c>
    </row>
    <row r="36" spans="1:19" x14ac:dyDescent="0.25">
      <c r="A36">
        <v>16.5</v>
      </c>
      <c r="B36">
        <f ca="1">HLOOKUP(EmpiricAMGcalc!$J$32,AmgEmpWS!$C$1:$H$100,I36,FALSE)</f>
        <v>1.3170564797945248</v>
      </c>
      <c r="C36">
        <f ca="1">C35+C3</f>
        <v>26.041772721263033</v>
      </c>
      <c r="D36">
        <f t="shared" ca="1" si="6"/>
        <v>11.323544863348719</v>
      </c>
      <c r="E36">
        <f ca="1">$C$3*EXP(-$A$1*AmgEmpWS!$A36)</f>
        <v>1.3170564797945248</v>
      </c>
      <c r="F36">
        <f ca="1">$C$3*EXP(-$A$1*AmgEmpWS!$A36)</f>
        <v>1.3170564797945248</v>
      </c>
      <c r="G36">
        <f ca="1">$C$3*EXP(-$A$1*AmgEmpWS!$A36)</f>
        <v>1.3170564797945248</v>
      </c>
      <c r="H36">
        <f ca="1">$C$3*EXP(-$A$1*AmgEmpWS!$A36)</f>
        <v>1.3170564797945248</v>
      </c>
      <c r="I36">
        <v>36</v>
      </c>
      <c r="J36">
        <f>((Q36-EmpiricAMGcalc!$T$11)^2)/EmpiricAMGcalc!$T$11</f>
        <v>6.7352249736942813</v>
      </c>
      <c r="K36">
        <f>((R36-EmpiricAMGcalc!$T$12)^2)/EmpiricAMGcalc!$T$12</f>
        <v>10.595312762331575</v>
      </c>
      <c r="L36" s="12">
        <f t="shared" si="7"/>
        <v>1266.6666666666667</v>
      </c>
      <c r="M36" s="12">
        <v>18</v>
      </c>
      <c r="N36" s="5">
        <f t="shared" si="8"/>
        <v>17.330537736025857</v>
      </c>
      <c r="O36" s="14">
        <v>950</v>
      </c>
      <c r="P36" s="14">
        <v>0.5</v>
      </c>
      <c r="Q36">
        <f t="shared" si="9"/>
        <v>31.606226754371363</v>
      </c>
      <c r="R36">
        <f t="shared" si="3"/>
        <v>1.8775221014114967</v>
      </c>
      <c r="S36">
        <f t="shared" si="10"/>
        <v>246.88838810204908</v>
      </c>
    </row>
    <row r="37" spans="1:19" x14ac:dyDescent="0.25">
      <c r="A37">
        <v>17</v>
      </c>
      <c r="B37">
        <f ca="1">HLOOKUP(EmpiricAMGcalc!$J$32,AmgEmpWS!$C$1:$H$100,I37,FALSE)</f>
        <v>1.2149837463347806</v>
      </c>
      <c r="C37">
        <f t="shared" ref="C37:C51" ca="1" si="11">$C$36*EXP(-$A$1*(A37-16.5))</f>
        <v>24.02351840447669</v>
      </c>
      <c r="D37">
        <f t="shared" ca="1" si="6"/>
        <v>10.445962774510454</v>
      </c>
      <c r="E37">
        <f ca="1">$C$3*EXP(-$A$1*AmgEmpWS!$A37)</f>
        <v>1.2149837463347806</v>
      </c>
      <c r="F37">
        <f ca="1">$C$3*EXP(-$A$1*AmgEmpWS!$A37)</f>
        <v>1.2149837463347806</v>
      </c>
      <c r="G37">
        <f ca="1">$C$3*EXP(-$A$1*AmgEmpWS!$A37)</f>
        <v>1.2149837463347806</v>
      </c>
      <c r="H37">
        <f ca="1">$C$3*EXP(-$A$1*AmgEmpWS!$A37)</f>
        <v>1.2149837463347806</v>
      </c>
      <c r="I37">
        <v>37</v>
      </c>
      <c r="J37">
        <f>((Q37-EmpiricAMGcalc!$T$11)^2)/EmpiricAMGcalc!$T$11</f>
        <v>8.8042633231373024</v>
      </c>
      <c r="K37">
        <f>((R37-EmpiricAMGcalc!$T$12)^2)/EmpiricAMGcalc!$T$12</f>
        <v>11.920986119083352</v>
      </c>
      <c r="L37" s="12">
        <f t="shared" si="7"/>
        <v>1333.3333333333333</v>
      </c>
      <c r="M37" s="12">
        <v>18</v>
      </c>
      <c r="N37" s="5">
        <f t="shared" si="8"/>
        <v>20.725249442220655</v>
      </c>
      <c r="O37" s="14">
        <v>1000</v>
      </c>
      <c r="P37" s="14">
        <v>0.5</v>
      </c>
      <c r="Q37">
        <f t="shared" si="9"/>
        <v>33.269712373022486</v>
      </c>
      <c r="R37">
        <f t="shared" si="3"/>
        <v>1.9763390541173649</v>
      </c>
      <c r="S37">
        <f t="shared" si="10"/>
        <v>259.88251379163057</v>
      </c>
    </row>
    <row r="38" spans="1:19" x14ac:dyDescent="0.25">
      <c r="A38">
        <v>17.5</v>
      </c>
      <c r="B38">
        <f ca="1">HLOOKUP(EmpiricAMGcalc!$J$32,AmgEmpWS!$C$1:$H$100,I38,FALSE)</f>
        <v>1.1208217160800875</v>
      </c>
      <c r="C38">
        <f t="shared" ca="1" si="11"/>
        <v>22.161680109396151</v>
      </c>
      <c r="D38">
        <f t="shared" ca="1" si="6"/>
        <v>9.6363938681114192</v>
      </c>
      <c r="E38">
        <f ca="1">$C$3*EXP(-$A$1*AmgEmpWS!$A38)</f>
        <v>1.1208217160800875</v>
      </c>
      <c r="F38">
        <f ca="1">$C$3*EXP(-$A$1*AmgEmpWS!$A38)</f>
        <v>1.1208217160800875</v>
      </c>
      <c r="G38">
        <f ca="1">$C$3*EXP(-$A$1*AmgEmpWS!$A38)</f>
        <v>1.1208217160800875</v>
      </c>
      <c r="H38">
        <f ca="1">$C$3*EXP(-$A$1*AmgEmpWS!$A38)</f>
        <v>1.1208217160800875</v>
      </c>
      <c r="I38">
        <v>38</v>
      </c>
      <c r="J38">
        <f>((Q38-EmpiricAMGcalc!$T$11)^2)/EmpiricAMGcalc!$T$11</f>
        <v>11.52579331224354</v>
      </c>
      <c r="K38">
        <f>((R38-EmpiricAMGcalc!$T$12)^2)/EmpiricAMGcalc!$T$12</f>
        <v>7.9869842836967173E-2</v>
      </c>
      <c r="L38" s="12">
        <f t="shared" si="7"/>
        <v>150</v>
      </c>
      <c r="M38" s="12">
        <v>24</v>
      </c>
      <c r="N38" s="5">
        <f t="shared" si="8"/>
        <v>11.605663155080506</v>
      </c>
      <c r="O38" s="14">
        <v>150</v>
      </c>
      <c r="P38" s="14">
        <v>0.5</v>
      </c>
      <c r="Q38">
        <f t="shared" si="9"/>
        <v>4.8172510313556609</v>
      </c>
      <c r="R38">
        <f t="shared" si="3"/>
        <v>0.10869373435957699</v>
      </c>
      <c r="S38">
        <f t="shared" si="10"/>
        <v>29.236782801558441</v>
      </c>
    </row>
    <row r="39" spans="1:19" x14ac:dyDescent="0.25">
      <c r="A39">
        <v>18</v>
      </c>
      <c r="B39">
        <f ca="1">HLOOKUP(EmpiricAMGcalc!$J$32,AmgEmpWS!$C$1:$H$100,I39,FALSE)</f>
        <v>1.0339573043889621</v>
      </c>
      <c r="C39">
        <f t="shared" ca="1" si="11"/>
        <v>20.444135492646367</v>
      </c>
      <c r="D39">
        <f t="shared" ca="1" si="6"/>
        <v>8.8895670782942453</v>
      </c>
      <c r="E39">
        <f ca="1">$C$3*EXP(-$A$1*AmgEmpWS!$A39)</f>
        <v>1.0339573043889621</v>
      </c>
      <c r="F39">
        <f ca="1">$C$3*EXP(-$A$1*AmgEmpWS!$A39)</f>
        <v>1.0339573043889621</v>
      </c>
      <c r="G39">
        <f ca="1">$C$3*EXP(-$A$1*AmgEmpWS!$A39)</f>
        <v>1.0339573043889621</v>
      </c>
      <c r="H39">
        <f ca="1">$C$3*EXP(-$A$1*AmgEmpWS!$A39)</f>
        <v>1.0339573043889621</v>
      </c>
      <c r="I39">
        <v>39</v>
      </c>
      <c r="J39">
        <f>((Q39-EmpiricAMGcalc!$T$11)^2)/EmpiricAMGcalc!$T$11</f>
        <v>9.2167445829713195</v>
      </c>
      <c r="K39">
        <f>((R39-EmpiricAMGcalc!$T$12)^2)/EmpiricAMGcalc!$T$12</f>
        <v>4.416304002978786E-2</v>
      </c>
      <c r="L39" s="12">
        <f t="shared" si="7"/>
        <v>200</v>
      </c>
      <c r="M39" s="12">
        <v>24</v>
      </c>
      <c r="N39" s="5">
        <f t="shared" si="8"/>
        <v>9.260907623001108</v>
      </c>
      <c r="O39" s="14">
        <v>200</v>
      </c>
      <c r="P39" s="14">
        <v>0.5</v>
      </c>
      <c r="Q39">
        <f t="shared" si="9"/>
        <v>6.4230013751408803</v>
      </c>
      <c r="R39">
        <f t="shared" si="3"/>
        <v>0.14492497914610264</v>
      </c>
      <c r="S39">
        <f t="shared" si="10"/>
        <v>38.98237706874459</v>
      </c>
    </row>
    <row r="40" spans="1:19" x14ac:dyDescent="0.25">
      <c r="A40">
        <v>18.5</v>
      </c>
      <c r="B40">
        <f ca="1">HLOOKUP(EmpiricAMGcalc!$J$32,AmgEmpWS!$C$1:$H$100,I40,FALSE)</f>
        <v>0.95382494107822879</v>
      </c>
      <c r="C40">
        <f t="shared" ca="1" si="11"/>
        <v>18.859701700345102</v>
      </c>
      <c r="D40">
        <f t="shared" ca="1" si="6"/>
        <v>8.2006198502324619</v>
      </c>
      <c r="E40">
        <f ca="1">E39+E3</f>
        <v>19.901881832690851</v>
      </c>
      <c r="F40">
        <f ca="1">$C$3*EXP(-$A$1*AmgEmpWS!$A40)</f>
        <v>0.95382494107822879</v>
      </c>
      <c r="G40">
        <f ca="1">$C$3*EXP(-$A$1*AmgEmpWS!$A40)</f>
        <v>0.95382494107822879</v>
      </c>
      <c r="H40">
        <f ca="1">$C$3*EXP(-$A$1*AmgEmpWS!$A40)</f>
        <v>0.95382494107822879</v>
      </c>
      <c r="I40">
        <v>40</v>
      </c>
      <c r="J40">
        <f>((Q40-EmpiricAMGcalc!$T$11)^2)/EmpiricAMGcalc!$T$11</f>
        <v>7.1655392703557395</v>
      </c>
      <c r="K40">
        <f>((R40-EmpiricAMGcalc!$T$12)^2)/EmpiricAMGcalc!$T$12</f>
        <v>1.895786201285769E-2</v>
      </c>
      <c r="L40" s="12">
        <f t="shared" si="7"/>
        <v>250</v>
      </c>
      <c r="M40" s="12">
        <v>24</v>
      </c>
      <c r="N40" s="5">
        <f t="shared" si="8"/>
        <v>7.1844971323685973</v>
      </c>
      <c r="O40" s="14">
        <v>250</v>
      </c>
      <c r="P40" s="14">
        <v>0.5</v>
      </c>
      <c r="Q40">
        <f t="shared" si="9"/>
        <v>8.0287517189261006</v>
      </c>
      <c r="R40">
        <f t="shared" si="3"/>
        <v>0.18115622393262829</v>
      </c>
      <c r="S40">
        <f t="shared" si="10"/>
        <v>48.727971335930732</v>
      </c>
    </row>
    <row r="41" spans="1:19" x14ac:dyDescent="0.25">
      <c r="A41">
        <v>19</v>
      </c>
      <c r="B41">
        <f ca="1">HLOOKUP(EmpiricAMGcalc!$J$32,AmgEmpWS!$C$1:$H$100,I41,FALSE)</f>
        <v>0.8799028880216101</v>
      </c>
      <c r="C41">
        <f t="shared" ca="1" si="11"/>
        <v>17.39806255705647</v>
      </c>
      <c r="D41">
        <f t="shared" ca="1" si="6"/>
        <v>7.5650664802600076</v>
      </c>
      <c r="E41">
        <f t="shared" ref="E41:E67" ca="1" si="12">$E$40*EXP(-$A$1*(A41-18.5))</f>
        <v>18.359473051578814</v>
      </c>
      <c r="F41">
        <f ca="1">$C$3*EXP(-$A$1*AmgEmpWS!$A41)</f>
        <v>0.8799028880216101</v>
      </c>
      <c r="G41">
        <f ca="1">$C$3*EXP(-$A$1*AmgEmpWS!$A41)</f>
        <v>0.8799028880216101</v>
      </c>
      <c r="H41">
        <f ca="1">$C$3*EXP(-$A$1*AmgEmpWS!$A41)</f>
        <v>0.8799028880216101</v>
      </c>
      <c r="I41">
        <v>41</v>
      </c>
      <c r="J41">
        <f>((Q41-EmpiricAMGcalc!$T$11)^2)/EmpiricAMGcalc!$T$11</f>
        <v>5.3721773743967924</v>
      </c>
      <c r="K41">
        <f>((R41-EmpiricAMGcalc!$T$12)^2)/EmpiricAMGcalc!$T$12</f>
        <v>4.2543087861766386E-3</v>
      </c>
      <c r="L41" s="12">
        <f t="shared" si="7"/>
        <v>300</v>
      </c>
      <c r="M41" s="12">
        <v>24</v>
      </c>
      <c r="N41" s="5">
        <f t="shared" si="8"/>
        <v>5.376431683182969</v>
      </c>
      <c r="O41" s="14">
        <v>300</v>
      </c>
      <c r="P41" s="14">
        <v>0.5</v>
      </c>
      <c r="Q41">
        <f t="shared" si="9"/>
        <v>9.6345020627113218</v>
      </c>
      <c r="R41">
        <f t="shared" si="3"/>
        <v>0.21738746871915399</v>
      </c>
      <c r="S41">
        <f t="shared" si="10"/>
        <v>58.473565603116882</v>
      </c>
    </row>
    <row r="42" spans="1:19" x14ac:dyDescent="0.25">
      <c r="A42">
        <v>19.5</v>
      </c>
      <c r="B42">
        <f ca="1">HLOOKUP(EmpiricAMGcalc!$J$32,AmgEmpWS!$C$1:$H$100,I42,FALSE)</f>
        <v>0.81170984213681929</v>
      </c>
      <c r="C42">
        <f t="shared" ca="1" si="11"/>
        <v>16.049701397647844</v>
      </c>
      <c r="D42">
        <f t="shared" ca="1" si="6"/>
        <v>6.9787689096612926</v>
      </c>
      <c r="E42">
        <f t="shared" ca="1" si="12"/>
        <v>16.936601953789957</v>
      </c>
      <c r="F42">
        <f ca="1">$C$3*EXP(-$A$1*AmgEmpWS!$A42)</f>
        <v>0.81170984213681929</v>
      </c>
      <c r="G42">
        <f ca="1">$C$3*EXP(-$A$1*AmgEmpWS!$A42)</f>
        <v>0.81170984213681929</v>
      </c>
      <c r="H42">
        <f ca="1">$C$3*EXP(-$A$1*AmgEmpWS!$A42)</f>
        <v>0.81170984213681929</v>
      </c>
      <c r="I42">
        <v>42</v>
      </c>
      <c r="J42">
        <f>((Q42-EmpiricAMGcalc!$T$11)^2)/EmpiricAMGcalc!$T$11</f>
        <v>3.8366588950944815</v>
      </c>
      <c r="K42">
        <f>((R42-EmpiricAMGcalc!$T$12)^2)/EmpiricAMGcalc!$T$12</f>
        <v>5.2380349744751908E-5</v>
      </c>
      <c r="L42" s="12">
        <f t="shared" si="7"/>
        <v>350</v>
      </c>
      <c r="M42" s="12">
        <v>24</v>
      </c>
      <c r="N42" s="5">
        <f t="shared" si="8"/>
        <v>3.8367112754442263</v>
      </c>
      <c r="O42" s="14">
        <v>350</v>
      </c>
      <c r="P42" s="14">
        <v>0.5</v>
      </c>
      <c r="Q42">
        <f t="shared" si="9"/>
        <v>11.240252406496541</v>
      </c>
      <c r="R42">
        <f t="shared" si="3"/>
        <v>0.2536187135056796</v>
      </c>
      <c r="S42">
        <f t="shared" si="10"/>
        <v>68.219159870303031</v>
      </c>
    </row>
    <row r="43" spans="1:19" x14ac:dyDescent="0.25">
      <c r="A43">
        <v>20</v>
      </c>
      <c r="B43">
        <f ca="1">HLOOKUP(EmpiricAMGcalc!$J$32,AmgEmpWS!$C$1:$H$100,I43,FALSE)</f>
        <v>0.74880180164336319</v>
      </c>
      <c r="C43">
        <f t="shared" ca="1" si="11"/>
        <v>14.805839104721594</v>
      </c>
      <c r="D43">
        <f t="shared" ca="1" si="6"/>
        <v>6.4379097819615145</v>
      </c>
      <c r="E43">
        <f t="shared" ca="1" si="12"/>
        <v>15.624004291150088</v>
      </c>
      <c r="F43">
        <f ca="1">$C$3*EXP(-$A$1*AmgEmpWS!$A43)</f>
        <v>0.74880180164336319</v>
      </c>
      <c r="G43">
        <f ca="1">$C$3*EXP(-$A$1*AmgEmpWS!$A43)</f>
        <v>0.74880180164336319</v>
      </c>
      <c r="H43">
        <f ca="1">$C$3*EXP(-$A$1*AmgEmpWS!$A43)</f>
        <v>0.74880180164336319</v>
      </c>
      <c r="I43">
        <v>43</v>
      </c>
      <c r="J43">
        <f>((Q43-EmpiricAMGcalc!$T$11)^2)/EmpiricAMGcalc!$T$11</f>
        <v>2.5589838324488068</v>
      </c>
      <c r="K43">
        <f>((R43-EmpiricAMGcalc!$T$12)^2)/EmpiricAMGcalc!$T$12</f>
        <v>6.3520767035620011E-3</v>
      </c>
      <c r="L43" s="12">
        <f t="shared" si="7"/>
        <v>400</v>
      </c>
      <c r="M43" s="12">
        <v>24</v>
      </c>
      <c r="N43" s="5">
        <f t="shared" si="8"/>
        <v>2.5653359091523686</v>
      </c>
      <c r="O43" s="14">
        <v>400</v>
      </c>
      <c r="P43" s="14">
        <v>0.5</v>
      </c>
      <c r="Q43">
        <f t="shared" si="9"/>
        <v>12.846002750281761</v>
      </c>
      <c r="R43">
        <f t="shared" si="3"/>
        <v>0.28984995829220528</v>
      </c>
      <c r="S43">
        <f t="shared" si="10"/>
        <v>77.96475413748918</v>
      </c>
    </row>
    <row r="44" spans="1:19" x14ac:dyDescent="0.25">
      <c r="A44">
        <v>20.5</v>
      </c>
      <c r="B44">
        <f ca="1">HLOOKUP(EmpiricAMGcalc!$J$32,AmgEmpWS!$C$1:$H$100,I44,FALSE)</f>
        <v>0.69076917518740122</v>
      </c>
      <c r="C44">
        <f t="shared" ca="1" si="11"/>
        <v>13.658376948186072</v>
      </c>
      <c r="D44">
        <f t="shared" ca="1" si="6"/>
        <v>5.9389675882944983</v>
      </c>
      <c r="E44">
        <f t="shared" ca="1" si="12"/>
        <v>14.413133800741607</v>
      </c>
      <c r="F44">
        <f ca="1">$C$3*EXP(-$A$1*AmgEmpWS!$A44)</f>
        <v>0.69076917518740122</v>
      </c>
      <c r="G44">
        <f ca="1">$C$3*EXP(-$A$1*AmgEmpWS!$A44)</f>
        <v>0.69076917518740122</v>
      </c>
      <c r="H44">
        <f ca="1">$C$3*EXP(-$A$1*AmgEmpWS!$A44)</f>
        <v>0.69076917518740122</v>
      </c>
      <c r="I44">
        <v>44</v>
      </c>
      <c r="J44">
        <f>((Q44-EmpiricAMGcalc!$T$11)^2)/EmpiricAMGcalc!$T$11</f>
        <v>1.5391521864597655</v>
      </c>
      <c r="K44">
        <f>((R44-EmpiricAMGcalc!$T$12)^2)/EmpiricAMGcalc!$T$12</f>
        <v>2.3153397847628401E-2</v>
      </c>
      <c r="L44" s="12">
        <f t="shared" si="7"/>
        <v>450</v>
      </c>
      <c r="M44" s="12">
        <v>24</v>
      </c>
      <c r="N44" s="5">
        <f t="shared" si="8"/>
        <v>1.5623055843073939</v>
      </c>
      <c r="O44" s="14">
        <v>450</v>
      </c>
      <c r="P44" s="14">
        <v>0.5</v>
      </c>
      <c r="Q44">
        <f t="shared" si="9"/>
        <v>14.451753094066982</v>
      </c>
      <c r="R44">
        <f t="shared" si="3"/>
        <v>0.32608120307873095</v>
      </c>
      <c r="S44">
        <f t="shared" si="10"/>
        <v>87.710348404675329</v>
      </c>
    </row>
    <row r="45" spans="1:19" x14ac:dyDescent="0.25">
      <c r="A45">
        <v>21</v>
      </c>
      <c r="B45">
        <f ca="1">HLOOKUP(EmpiricAMGcalc!$J$32,AmgEmpWS!$C$1:$H$100,I45,FALSE)</f>
        <v>0.63723411501130978</v>
      </c>
      <c r="C45">
        <f t="shared" ca="1" si="11"/>
        <v>12.599843854797081</v>
      </c>
      <c r="D45">
        <f t="shared" ca="1" si="6"/>
        <v>5.4786937390206836</v>
      </c>
      <c r="E45">
        <f t="shared" ca="1" si="12"/>
        <v>13.296106560579323</v>
      </c>
      <c r="F45">
        <f ca="1">$C$3*EXP(-$A$1*AmgEmpWS!$A45)</f>
        <v>0.63723411501130978</v>
      </c>
      <c r="G45">
        <f ca="1">$C$3*EXP(-$A$1*AmgEmpWS!$A45)</f>
        <v>0.63723411501130978</v>
      </c>
      <c r="H45">
        <f ca="1">$C$3*EXP(-$A$1*AmgEmpWS!$A45)</f>
        <v>0.63723411501130978</v>
      </c>
      <c r="I45">
        <v>45</v>
      </c>
      <c r="J45">
        <f>((Q45-EmpiricAMGcalc!$T$11)^2)/EmpiricAMGcalc!$T$11</f>
        <v>0.77716395712736053</v>
      </c>
      <c r="K45">
        <f>((R45-EmpiricAMGcalc!$T$12)^2)/EmpiricAMGcalc!$T$12</f>
        <v>5.0456343781943899E-2</v>
      </c>
      <c r="L45" s="12">
        <f t="shared" si="7"/>
        <v>500</v>
      </c>
      <c r="M45" s="12">
        <v>24</v>
      </c>
      <c r="N45" s="5">
        <f t="shared" si="8"/>
        <v>0.82762030090930438</v>
      </c>
      <c r="O45" s="14">
        <v>500</v>
      </c>
      <c r="P45" s="14">
        <v>0.5</v>
      </c>
      <c r="Q45">
        <f t="shared" si="9"/>
        <v>16.057503437852201</v>
      </c>
      <c r="R45">
        <f t="shared" si="3"/>
        <v>0.36231244786525657</v>
      </c>
      <c r="S45">
        <f t="shared" si="10"/>
        <v>97.455942671861465</v>
      </c>
    </row>
    <row r="46" spans="1:19" x14ac:dyDescent="0.25">
      <c r="A46">
        <v>21.5</v>
      </c>
      <c r="B46">
        <f ca="1">HLOOKUP(EmpiricAMGcalc!$J$32,AmgEmpWS!$C$1:$H$100,I46,FALSE)</f>
        <v>0.58784805680433516</v>
      </c>
      <c r="C46">
        <f t="shared" ca="1" si="11"/>
        <v>11.623347764344116</v>
      </c>
      <c r="D46">
        <f t="shared" ca="1" si="6"/>
        <v>5.0540914123096279</v>
      </c>
      <c r="E46">
        <f t="shared" ca="1" si="12"/>
        <v>12.26564965775758</v>
      </c>
      <c r="F46">
        <f ca="1">$C$3*EXP(-$A$1*AmgEmpWS!$A46)</f>
        <v>0.58784805680433516</v>
      </c>
      <c r="G46">
        <f ca="1">$C$3*EXP(-$A$1*AmgEmpWS!$A46)</f>
        <v>0.58784805680433516</v>
      </c>
      <c r="H46">
        <f ca="1">$C$3*EXP(-$A$1*AmgEmpWS!$A46)</f>
        <v>0.58784805680433516</v>
      </c>
      <c r="I46">
        <v>46</v>
      </c>
      <c r="J46">
        <f>((Q46-EmpiricAMGcalc!$T$11)^2)/EmpiricAMGcalc!$T$11</f>
        <v>0.27301914445159037</v>
      </c>
      <c r="K46">
        <f>((R46-EmpiricAMGcalc!$T$12)^2)/EmpiricAMGcalc!$T$12</f>
        <v>8.826091450650865E-2</v>
      </c>
      <c r="L46" s="12">
        <f t="shared" si="7"/>
        <v>550</v>
      </c>
      <c r="M46" s="12">
        <v>24</v>
      </c>
      <c r="N46" s="5">
        <f t="shared" si="8"/>
        <v>0.361280058958099</v>
      </c>
      <c r="O46" s="14">
        <v>550</v>
      </c>
      <c r="P46" s="14">
        <v>0.5</v>
      </c>
      <c r="Q46">
        <f t="shared" si="9"/>
        <v>17.663253781637422</v>
      </c>
      <c r="R46">
        <f t="shared" si="3"/>
        <v>0.3985436926517823</v>
      </c>
      <c r="S46">
        <f t="shared" si="10"/>
        <v>107.20153693904761</v>
      </c>
    </row>
    <row r="47" spans="1:19" x14ac:dyDescent="0.25">
      <c r="A47">
        <v>22</v>
      </c>
      <c r="B47">
        <f ca="1">HLOOKUP(EmpiricAMGcalc!$J$32,AmgEmpWS!$C$1:$H$100,I47,FALSE)</f>
        <v>0.54228945021642427</v>
      </c>
      <c r="C47">
        <f t="shared" ca="1" si="11"/>
        <v>10.722530755763808</v>
      </c>
      <c r="D47">
        <f t="shared" ca="1" si="6"/>
        <v>4.6623960419711077</v>
      </c>
      <c r="E47">
        <f t="shared" ca="1" si="12"/>
        <v>11.315053834849349</v>
      </c>
      <c r="F47">
        <f ca="1">$C$3*EXP(-$A$1*AmgEmpWS!$A47)</f>
        <v>0.54228945021642427</v>
      </c>
      <c r="G47">
        <f ca="1">$C$3*EXP(-$A$1*AmgEmpWS!$A47)</f>
        <v>0.54228945021642427</v>
      </c>
      <c r="H47">
        <f ca="1">$C$3*EXP(-$A$1*AmgEmpWS!$A47)</f>
        <v>0.54228945021642427</v>
      </c>
      <c r="I47">
        <v>47</v>
      </c>
      <c r="J47">
        <f>((Q47-EmpiricAMGcalc!$T$11)^2)/EmpiricAMGcalc!$T$11</f>
        <v>2.6717748432455706E-2</v>
      </c>
      <c r="K47">
        <f>((R47-EmpiricAMGcalc!$T$12)^2)/EmpiricAMGcalc!$T$12</f>
        <v>0.27226655075939443</v>
      </c>
      <c r="L47" s="12">
        <f t="shared" si="7"/>
        <v>600</v>
      </c>
      <c r="M47" s="12">
        <v>24</v>
      </c>
      <c r="N47" s="5">
        <f t="shared" si="8"/>
        <v>0.29898429919185016</v>
      </c>
      <c r="O47" s="14">
        <v>600</v>
      </c>
      <c r="P47" s="14">
        <v>1.5</v>
      </c>
      <c r="Q47">
        <f t="shared" si="9"/>
        <v>19.269004125422644</v>
      </c>
      <c r="R47">
        <f t="shared" ref="R47:R91" si="13">Q47*EXP(-$A$1*(M47-P47))</f>
        <v>0.51089583685802387</v>
      </c>
      <c r="S47">
        <f t="shared" si="10"/>
        <v>116.94713120623376</v>
      </c>
    </row>
    <row r="48" spans="1:19" x14ac:dyDescent="0.25">
      <c r="A48">
        <v>22.5</v>
      </c>
      <c r="B48">
        <f ca="1">HLOOKUP(EmpiricAMGcalc!$J$32,AmgEmpWS!$C$1:$H$100,I48,FALSE)</f>
        <v>0.50026166525870708</v>
      </c>
      <c r="C48">
        <f t="shared" ca="1" si="11"/>
        <v>9.8915276510087704</v>
      </c>
      <c r="D48">
        <f t="shared" ca="1" si="6"/>
        <v>4.3010573174920106</v>
      </c>
      <c r="E48">
        <f t="shared" ca="1" si="12"/>
        <v>10.438129806240172</v>
      </c>
      <c r="F48">
        <f ca="1">$C$3*EXP(-$A$1*AmgEmpWS!$A48)</f>
        <v>0.50026166525870708</v>
      </c>
      <c r="G48">
        <f ca="1">$C$3*EXP(-$A$1*AmgEmpWS!$A48)</f>
        <v>0.50026166525870708</v>
      </c>
      <c r="H48">
        <f ca="1">$C$3*EXP(-$A$1*AmgEmpWS!$A48)</f>
        <v>0.50026166525870708</v>
      </c>
      <c r="I48">
        <v>48</v>
      </c>
      <c r="J48">
        <f>((Q48-EmpiricAMGcalc!$T$11)^2)/EmpiricAMGcalc!$T$11</f>
        <v>3.8259769069956359E-2</v>
      </c>
      <c r="K48">
        <f>((R48-EmpiricAMGcalc!$T$12)^2)/EmpiricAMGcalc!$T$12</f>
        <v>0.64119333688081392</v>
      </c>
      <c r="L48" s="12">
        <f t="shared" si="7"/>
        <v>650</v>
      </c>
      <c r="M48" s="12">
        <v>24</v>
      </c>
      <c r="N48" s="5">
        <f t="shared" si="8"/>
        <v>0.67945310595077024</v>
      </c>
      <c r="O48" s="14">
        <v>650</v>
      </c>
      <c r="P48" s="14">
        <v>2.5</v>
      </c>
      <c r="Q48">
        <f t="shared" si="9"/>
        <v>20.874754469207861</v>
      </c>
      <c r="R48">
        <f t="shared" si="13"/>
        <v>0.65037274410254686</v>
      </c>
      <c r="S48">
        <f t="shared" si="10"/>
        <v>126.69272547341991</v>
      </c>
    </row>
    <row r="49" spans="1:19" x14ac:dyDescent="0.25">
      <c r="A49">
        <v>23</v>
      </c>
      <c r="B49">
        <f ca="1">HLOOKUP(EmpiricAMGcalc!$J$32,AmgEmpWS!$C$1:$H$100,I49,FALSE)</f>
        <v>0.46149106095930276</v>
      </c>
      <c r="C49">
        <f t="shared" ca="1" si="11"/>
        <v>9.1249278271434875</v>
      </c>
      <c r="D49">
        <f t="shared" ca="1" si="6"/>
        <v>3.9677225790820541</v>
      </c>
      <c r="E49">
        <f t="shared" ca="1" si="12"/>
        <v>9.6291679599746374</v>
      </c>
      <c r="F49">
        <f ca="1">$C$3*EXP(-$A$1*AmgEmpWS!$A49)</f>
        <v>0.46149106095930276</v>
      </c>
      <c r="G49">
        <f ca="1">$C$3*EXP(-$A$1*AmgEmpWS!$A49)</f>
        <v>0.46149106095930276</v>
      </c>
      <c r="H49">
        <f ca="1">$C$3*EXP(-$A$1*AmgEmpWS!$A49)</f>
        <v>0.46149106095930276</v>
      </c>
      <c r="I49">
        <v>49</v>
      </c>
      <c r="J49">
        <f>((Q49-EmpiricAMGcalc!$T$11)^2)/EmpiricAMGcalc!$T$11</f>
        <v>0.30764520636409232</v>
      </c>
      <c r="K49">
        <f>((R49-EmpiricAMGcalc!$T$12)^2)/EmpiricAMGcalc!$T$12</f>
        <v>1.3134466824365469</v>
      </c>
      <c r="L49" s="12">
        <f t="shared" si="7"/>
        <v>700</v>
      </c>
      <c r="M49" s="12">
        <v>24</v>
      </c>
      <c r="N49" s="5">
        <f t="shared" si="8"/>
        <v>1.6210918888006391</v>
      </c>
      <c r="O49" s="14">
        <v>700</v>
      </c>
      <c r="P49" s="14">
        <v>3.5</v>
      </c>
      <c r="Q49">
        <f t="shared" si="9"/>
        <v>22.480504812993082</v>
      </c>
      <c r="R49">
        <f t="shared" si="13"/>
        <v>0.82302850767578462</v>
      </c>
      <c r="S49">
        <f t="shared" si="10"/>
        <v>136.43831974060606</v>
      </c>
    </row>
    <row r="50" spans="1:19" x14ac:dyDescent="0.25">
      <c r="A50">
        <v>23.5</v>
      </c>
      <c r="B50">
        <f ca="1">HLOOKUP(EmpiricAMGcalc!$J$32,AmgEmpWS!$C$1:$H$100,I50,FALSE)</f>
        <v>0.42572520369955752</v>
      </c>
      <c r="C50">
        <f t="shared" ca="1" si="11"/>
        <v>8.4177399880276358</v>
      </c>
      <c r="D50">
        <f t="shared" ca="1" si="6"/>
        <v>3.660221499614273</v>
      </c>
      <c r="E50">
        <f t="shared" ca="1" si="12"/>
        <v>8.8829011827359405</v>
      </c>
      <c r="F50">
        <f ca="1">$C$3*EXP(-$A$1*AmgEmpWS!$A50)</f>
        <v>0.42572520369955752</v>
      </c>
      <c r="G50">
        <f ca="1">$C$3*EXP(-$A$1*AmgEmpWS!$A50)</f>
        <v>0.42572520369955752</v>
      </c>
      <c r="H50">
        <f ca="1">$C$3*EXP(-$A$1*AmgEmpWS!$A50)</f>
        <v>0.42572520369955752</v>
      </c>
      <c r="I50">
        <v>50</v>
      </c>
      <c r="J50">
        <f>((Q50-EmpiricAMGcalc!$T$11)^2)/EmpiricAMGcalc!$T$11</f>
        <v>0.83487406031486255</v>
      </c>
      <c r="K50">
        <f>((R50-EmpiricAMGcalc!$T$12)^2)/EmpiricAMGcalc!$T$12</f>
        <v>2.4724774200328721</v>
      </c>
      <c r="L50" s="12">
        <f t="shared" si="7"/>
        <v>750</v>
      </c>
      <c r="M50" s="12">
        <v>24</v>
      </c>
      <c r="N50" s="5">
        <f t="shared" si="8"/>
        <v>3.3073514803477346</v>
      </c>
      <c r="O50" s="14">
        <v>750</v>
      </c>
      <c r="P50" s="14">
        <v>4.5</v>
      </c>
      <c r="Q50">
        <f t="shared" si="9"/>
        <v>24.0862551567783</v>
      </c>
      <c r="R50">
        <f t="shared" si="13"/>
        <v>1.0362056696617101</v>
      </c>
      <c r="S50">
        <f t="shared" si="10"/>
        <v>146.1839140077922</v>
      </c>
    </row>
    <row r="51" spans="1:19" x14ac:dyDescent="0.25">
      <c r="A51">
        <v>24</v>
      </c>
      <c r="B51">
        <f ca="1">HLOOKUP(EmpiricAMGcalc!$J$32,AmgEmpWS!$C$1:$H$100,I51,FALSE)</f>
        <v>0.39273122363038099</v>
      </c>
      <c r="C51">
        <f t="shared" ca="1" si="11"/>
        <v>7.7653596662168178</v>
      </c>
      <c r="D51">
        <f t="shared" ca="1" si="6"/>
        <v>3.3765519537250634</v>
      </c>
      <c r="E51">
        <f t="shared" ca="1" si="12"/>
        <v>8.1944705659137149</v>
      </c>
      <c r="F51">
        <f ca="1">$C$3*EXP(-$A$1*AmgEmpWS!$A51)</f>
        <v>0.39273122363038099</v>
      </c>
      <c r="G51">
        <f ca="1">$C$3*EXP(-$A$1*AmgEmpWS!$A51)</f>
        <v>0.39273122363038099</v>
      </c>
      <c r="H51">
        <f ca="1">$C$3*EXP(-$A$1*AmgEmpWS!$A51)</f>
        <v>0.39273122363038099</v>
      </c>
      <c r="I51">
        <v>51</v>
      </c>
      <c r="J51">
        <f>((Q51-EmpiricAMGcalc!$T$11)^2)/EmpiricAMGcalc!$T$11</f>
        <v>1.619946330922269</v>
      </c>
      <c r="K51">
        <f>((R51-EmpiricAMGcalc!$T$12)^2)/EmpiricAMGcalc!$T$12</f>
        <v>4.3999325439438755</v>
      </c>
      <c r="L51" s="12">
        <f t="shared" si="7"/>
        <v>800</v>
      </c>
      <c r="M51" s="12">
        <v>24</v>
      </c>
      <c r="N51" s="5">
        <f t="shared" si="8"/>
        <v>6.0198788748661443</v>
      </c>
      <c r="O51" s="14">
        <v>800</v>
      </c>
      <c r="P51" s="14">
        <v>5.5</v>
      </c>
      <c r="Q51">
        <f t="shared" si="9"/>
        <v>25.692005500563521</v>
      </c>
      <c r="R51">
        <f t="shared" si="13"/>
        <v>1.298800808536096</v>
      </c>
      <c r="S51">
        <f t="shared" si="10"/>
        <v>155.92950827497836</v>
      </c>
    </row>
    <row r="52" spans="1:19" x14ac:dyDescent="0.25">
      <c r="A52">
        <v>24.5</v>
      </c>
      <c r="B52">
        <f ca="1">HLOOKUP(EmpiricAMGcalc!$J$32,AmgEmpWS!$C$1:$H$100,I52,FALSE)</f>
        <v>19.260655751932269</v>
      </c>
      <c r="C52">
        <f ca="1">C51+C3</f>
        <v>26.633284194518705</v>
      </c>
      <c r="D52">
        <f ca="1">D51+D3</f>
        <v>22.24447648202695</v>
      </c>
      <c r="E52">
        <f t="shared" ca="1" si="12"/>
        <v>7.5593937694738811</v>
      </c>
      <c r="F52">
        <f ca="1">F51+F3</f>
        <v>19.260655751932269</v>
      </c>
      <c r="G52">
        <f ca="1">$C$3*EXP(-$A$1*AmgEmpWS!$A52)</f>
        <v>0.36229429846738637</v>
      </c>
      <c r="H52">
        <f ca="1">$C$3*EXP(-$A$1*AmgEmpWS!$A52)</f>
        <v>0.36229429846738637</v>
      </c>
      <c r="I52">
        <v>52</v>
      </c>
      <c r="J52">
        <f>((Q52-EmpiricAMGcalc!$T$11)^2)/EmpiricAMGcalc!$T$11</f>
        <v>2.6628620181863112</v>
      </c>
      <c r="K52">
        <f>((R52-EmpiricAMGcalc!$T$12)^2)/EmpiricAMGcalc!$T$12</f>
        <v>7.5249666183296871</v>
      </c>
      <c r="L52" s="12">
        <f t="shared" si="7"/>
        <v>850</v>
      </c>
      <c r="M52" s="12">
        <v>24</v>
      </c>
      <c r="N52" s="5">
        <f t="shared" si="8"/>
        <v>10.187828636515999</v>
      </c>
      <c r="O52" s="14">
        <v>850</v>
      </c>
      <c r="P52" s="14">
        <v>6.5</v>
      </c>
      <c r="Q52">
        <f t="shared" si="9"/>
        <v>27.297755844348742</v>
      </c>
      <c r="R52">
        <f t="shared" si="13"/>
        <v>1.6215836301817041</v>
      </c>
      <c r="S52">
        <f t="shared" si="10"/>
        <v>165.6751025421645</v>
      </c>
    </row>
    <row r="53" spans="1:19" x14ac:dyDescent="0.25">
      <c r="A53">
        <v>25</v>
      </c>
      <c r="B53">
        <f ca="1">HLOOKUP(EmpiricAMGcalc!$J$32,AmgEmpWS!$C$1:$H$100,I53,FALSE)</f>
        <v>17.767942408967972</v>
      </c>
      <c r="C53">
        <f t="shared" ref="C53:C67" ca="1" si="14">$C$52*EXP(-$A$1*(A53-24.5))</f>
        <v>24.569187353987726</v>
      </c>
      <c r="D53">
        <f t="shared" ref="D53:D75" ca="1" si="15">$D$52*EXP(-$A$1*(A53-24.5))</f>
        <v>20.520515092568754</v>
      </c>
      <c r="E53">
        <f t="shared" ca="1" si="12"/>
        <v>6.9735358376491652</v>
      </c>
      <c r="F53">
        <f t="shared" ref="F53:F99" ca="1" si="16">$F$52*EXP(-$A$1*(A53-24.5))</f>
        <v>17.767942408967972</v>
      </c>
      <c r="G53">
        <f ca="1">$C$3*EXP(-$A$1*AmgEmpWS!$A53)</f>
        <v>0.3342162547928918</v>
      </c>
      <c r="H53">
        <f ca="1">$C$3*EXP(-$A$1*AmgEmpWS!$A53)</f>
        <v>0.3342162547928918</v>
      </c>
      <c r="I53">
        <v>53</v>
      </c>
      <c r="J53">
        <f>((Q53-EmpiricAMGcalc!$T$11)^2)/EmpiricAMGcalc!$T$11</f>
        <v>3.9636211221069892</v>
      </c>
      <c r="K53">
        <f>((R53-EmpiricAMGcalc!$T$12)^2)/EmpiricAMGcalc!$T$12</f>
        <v>12.497358432031158</v>
      </c>
      <c r="L53" s="12">
        <f t="shared" si="7"/>
        <v>900</v>
      </c>
      <c r="M53" s="12">
        <v>24</v>
      </c>
      <c r="N53" s="5">
        <f t="shared" si="8"/>
        <v>16.460979554138149</v>
      </c>
      <c r="O53" s="14">
        <v>900</v>
      </c>
      <c r="P53" s="14">
        <v>7.5</v>
      </c>
      <c r="Q53">
        <f t="shared" si="9"/>
        <v>28.903506188133964</v>
      </c>
      <c r="R53">
        <f t="shared" si="13"/>
        <v>2.0175801560347382</v>
      </c>
      <c r="S53">
        <f t="shared" si="10"/>
        <v>175.42069680935066</v>
      </c>
    </row>
    <row r="54" spans="1:19" x14ac:dyDescent="0.25">
      <c r="A54">
        <v>25.5</v>
      </c>
      <c r="B54">
        <f ca="1">HLOOKUP(EmpiricAMGcalc!$J$32,AmgEmpWS!$C$1:$H$100,I54,FALSE)</f>
        <v>16.390915320561238</v>
      </c>
      <c r="C54">
        <f t="shared" ca="1" si="14"/>
        <v>22.665059360556981</v>
      </c>
      <c r="D54">
        <f t="shared" ca="1" si="15"/>
        <v>18.930161831615806</v>
      </c>
      <c r="E54">
        <f t="shared" ca="1" si="12"/>
        <v>6.4330822764325744</v>
      </c>
      <c r="F54">
        <f t="shared" ca="1" si="16"/>
        <v>16.390915320561238</v>
      </c>
      <c r="G54">
        <f ca="1">$C$3*EXP(-$A$1*AmgEmpWS!$A54)</f>
        <v>0.30831427775792752</v>
      </c>
      <c r="H54">
        <f ca="1">$C$3*EXP(-$A$1*AmgEmpWS!$A54)</f>
        <v>0.30831427775792752</v>
      </c>
      <c r="I54">
        <v>54</v>
      </c>
      <c r="J54">
        <f>((Q54-EmpiricAMGcalc!$T$11)^2)/EmpiricAMGcalc!$T$11</f>
        <v>5.522223642684299</v>
      </c>
      <c r="K54">
        <f>((R54-EmpiricAMGcalc!$T$12)^2)/EmpiricAMGcalc!$T$12</f>
        <v>20.295613745315595</v>
      </c>
      <c r="L54" s="12">
        <f t="shared" si="7"/>
        <v>950</v>
      </c>
      <c r="M54" s="12">
        <v>24</v>
      </c>
      <c r="N54" s="5">
        <f t="shared" si="8"/>
        <v>25.817837387999894</v>
      </c>
      <c r="O54" s="14">
        <v>950</v>
      </c>
      <c r="P54" s="14">
        <v>8.5</v>
      </c>
      <c r="Q54">
        <f t="shared" si="9"/>
        <v>30.509256531919181</v>
      </c>
      <c r="R54">
        <f t="shared" si="13"/>
        <v>2.5025326715341776</v>
      </c>
      <c r="S54">
        <f t="shared" si="10"/>
        <v>185.16629107653679</v>
      </c>
    </row>
    <row r="55" spans="1:19" x14ac:dyDescent="0.25">
      <c r="A55">
        <v>26</v>
      </c>
      <c r="B55">
        <f ca="1">HLOOKUP(EmpiricAMGcalc!$J$32,AmgEmpWS!$C$1:$H$100,I55,FALSE)</f>
        <v>15.120608726771195</v>
      </c>
      <c r="C55">
        <f t="shared" ca="1" si="14"/>
        <v>20.908502524573496</v>
      </c>
      <c r="D55">
        <f t="shared" ca="1" si="15"/>
        <v>17.463061982344499</v>
      </c>
      <c r="E55">
        <f t="shared" ca="1" si="12"/>
        <v>5.9345142175826222</v>
      </c>
      <c r="F55">
        <f t="shared" ca="1" si="16"/>
        <v>15.120608726771195</v>
      </c>
      <c r="G55">
        <f ca="1">$C$3*EXP(-$A$1*AmgEmpWS!$A55)</f>
        <v>0.2844197207831739</v>
      </c>
      <c r="H55">
        <f ca="1">$C$3*EXP(-$A$1*AmgEmpWS!$A55)</f>
        <v>0.2844197207831739</v>
      </c>
      <c r="I55">
        <v>55</v>
      </c>
      <c r="J55">
        <f>((Q55-EmpiricAMGcalc!$T$11)^2)/EmpiricAMGcalc!$T$11</f>
        <v>7.338669579918248</v>
      </c>
      <c r="K55">
        <f>((R55-EmpiricAMGcalc!$T$12)^2)/EmpiricAMGcalc!$T$12</f>
        <v>32.386378490025592</v>
      </c>
      <c r="L55" s="12">
        <f t="shared" si="7"/>
        <v>1000</v>
      </c>
      <c r="M55" s="12">
        <v>24</v>
      </c>
      <c r="N55" s="5">
        <f t="shared" si="8"/>
        <v>39.725048069943838</v>
      </c>
      <c r="O55" s="14">
        <v>1000</v>
      </c>
      <c r="P55" s="14">
        <v>9.5</v>
      </c>
      <c r="Q55">
        <f t="shared" si="9"/>
        <v>32.115006875704402</v>
      </c>
      <c r="R55">
        <f t="shared" si="13"/>
        <v>3.0954515674153371</v>
      </c>
      <c r="S55">
        <f t="shared" si="10"/>
        <v>194.91188534372293</v>
      </c>
    </row>
    <row r="56" spans="1:19" x14ac:dyDescent="0.25">
      <c r="A56">
        <v>26.5</v>
      </c>
      <c r="B56">
        <f ca="1">HLOOKUP(EmpiricAMGcalc!$J$32,AmgEmpWS!$C$1:$H$100,I56,FALSE)</f>
        <v>13.948751719881416</v>
      </c>
      <c r="C56">
        <f t="shared" ca="1" si="14"/>
        <v>19.288079985392688</v>
      </c>
      <c r="D56">
        <f t="shared" ca="1" si="15"/>
        <v>16.109663325217106</v>
      </c>
      <c r="E56">
        <f t="shared" ca="1" si="12"/>
        <v>5.4745855074343091</v>
      </c>
      <c r="F56">
        <f t="shared" ca="1" si="16"/>
        <v>13.948751719881416</v>
      </c>
      <c r="G56">
        <f ca="1">$C$3*EXP(-$A$1*AmgEmpWS!$A56)</f>
        <v>0.26237700750885412</v>
      </c>
      <c r="H56">
        <f ca="1">$C$3*EXP(-$A$1*AmgEmpWS!$A56)</f>
        <v>0.26237700750885412</v>
      </c>
      <c r="I56">
        <v>56</v>
      </c>
      <c r="J56">
        <f>((Q56-EmpiricAMGcalc!$T$11)^2)/EmpiricAMGcalc!$T$11</f>
        <v>11.656829551023765</v>
      </c>
      <c r="K56">
        <f>((R56-EmpiricAMGcalc!$T$12)^2)/EmpiricAMGcalc!$T$12</f>
        <v>0.11928632975847422</v>
      </c>
      <c r="L56" s="12">
        <f t="shared" si="7"/>
        <v>100</v>
      </c>
      <c r="M56" s="12">
        <v>36</v>
      </c>
      <c r="N56" s="5">
        <f t="shared" si="8"/>
        <v>11.776115880782239</v>
      </c>
      <c r="O56" s="14">
        <v>150</v>
      </c>
      <c r="P56" s="14">
        <v>10.5</v>
      </c>
      <c r="Q56">
        <f t="shared" si="9"/>
        <v>4.7311889454196425</v>
      </c>
      <c r="R56">
        <f t="shared" si="13"/>
        <v>7.7310734440097423E-2</v>
      </c>
      <c r="S56">
        <f t="shared" si="10"/>
        <v>19.491188534372295</v>
      </c>
    </row>
    <row r="57" spans="1:19" x14ac:dyDescent="0.25">
      <c r="A57">
        <v>27</v>
      </c>
      <c r="B57">
        <f ca="1">HLOOKUP(EmpiricAMGcalc!$J$32,AmgEmpWS!$C$1:$H$100,I57,FALSE)</f>
        <v>12.867714392900774</v>
      </c>
      <c r="C57">
        <f t="shared" ca="1" si="14"/>
        <v>17.79324124650552</v>
      </c>
      <c r="D57">
        <f t="shared" ca="1" si="15"/>
        <v>14.86115394392038</v>
      </c>
      <c r="E57">
        <f t="shared" ca="1" si="12"/>
        <v>5.0503015713421364</v>
      </c>
      <c r="F57">
        <f t="shared" ca="1" si="16"/>
        <v>12.867714392900774</v>
      </c>
      <c r="G57">
        <f ca="1">$C$3*EXP(-$A$1*AmgEmpWS!$A57)</f>
        <v>0.24204261884421996</v>
      </c>
      <c r="H57">
        <f ca="1">$C$3*EXP(-$A$1*AmgEmpWS!$A57)</f>
        <v>0.24204261884421996</v>
      </c>
      <c r="I57">
        <v>57</v>
      </c>
      <c r="J57">
        <f>((Q57-EmpiricAMGcalc!$T$11)^2)/EmpiricAMGcalc!$T$11</f>
        <v>9.3731982644152652</v>
      </c>
      <c r="K57">
        <f>((R57-EmpiricAMGcalc!$T$12)^2)/EmpiricAMGcalc!$T$12</f>
        <v>6.6431437093545515E-2</v>
      </c>
      <c r="L57" s="12">
        <f t="shared" si="7"/>
        <v>133.33333333333334</v>
      </c>
      <c r="M57" s="12">
        <v>36</v>
      </c>
      <c r="N57" s="5">
        <f t="shared" si="8"/>
        <v>9.4396297015088102</v>
      </c>
      <c r="O57" s="14">
        <v>200</v>
      </c>
      <c r="P57" s="14">
        <v>11.5</v>
      </c>
      <c r="Q57">
        <f t="shared" si="9"/>
        <v>6.3082519272261903</v>
      </c>
      <c r="R57">
        <f t="shared" si="13"/>
        <v>0.12112851644608737</v>
      </c>
      <c r="S57">
        <f t="shared" si="10"/>
        <v>25.988251379163056</v>
      </c>
    </row>
    <row r="58" spans="1:19" x14ac:dyDescent="0.25">
      <c r="A58">
        <v>27.5</v>
      </c>
      <c r="B58">
        <f ca="1">HLOOKUP(EmpiricAMGcalc!$J$32,AmgEmpWS!$C$1:$H$100,I58,FALSE)</f>
        <v>11.87045816159049</v>
      </c>
      <c r="C58">
        <f t="shared" ca="1" si="14"/>
        <v>16.414253481741753</v>
      </c>
      <c r="D58">
        <f t="shared" ca="1" si="15"/>
        <v>13.709404851384368</v>
      </c>
      <c r="E58">
        <f t="shared" ca="1" si="12"/>
        <v>4.6588999161425377</v>
      </c>
      <c r="F58">
        <f t="shared" ca="1" si="16"/>
        <v>11.87045816159049</v>
      </c>
      <c r="G58">
        <f ca="1">$C$3*EXP(-$A$1*AmgEmpWS!$A58)</f>
        <v>0.22328415852136513</v>
      </c>
      <c r="H58">
        <f ca="1">$C$3*EXP(-$A$1*AmgEmpWS!$A58)</f>
        <v>0.22328415852136513</v>
      </c>
      <c r="I58">
        <v>58</v>
      </c>
      <c r="J58">
        <f>((Q58-EmpiricAMGcalc!$T$11)^2)/EmpiricAMGcalc!$T$11</f>
        <v>7.3382797426652235</v>
      </c>
      <c r="K58">
        <f>((R58-EmpiricAMGcalc!$T$12)^2)/EmpiricAMGcalc!$T$12</f>
        <v>2.0782222841569099E-2</v>
      </c>
      <c r="L58" s="12">
        <f t="shared" si="7"/>
        <v>166.66666666666666</v>
      </c>
      <c r="M58" s="12">
        <v>36</v>
      </c>
      <c r="N58" s="5">
        <f t="shared" si="8"/>
        <v>7.3590619655067924</v>
      </c>
      <c r="O58" s="14">
        <v>250</v>
      </c>
      <c r="P58" s="14">
        <v>12.5</v>
      </c>
      <c r="Q58">
        <f t="shared" si="9"/>
        <v>7.8853149090327381</v>
      </c>
      <c r="R58">
        <f t="shared" si="13"/>
        <v>0.17791979668180538</v>
      </c>
      <c r="S58">
        <f t="shared" si="10"/>
        <v>32.485314223953822</v>
      </c>
    </row>
    <row r="59" spans="1:19" x14ac:dyDescent="0.25">
      <c r="A59">
        <v>28</v>
      </c>
      <c r="B59">
        <f ca="1">HLOOKUP(EmpiricAMGcalc!$J$32,AmgEmpWS!$C$1:$H$100,I59,FALSE)</f>
        <v>10.950489936566379</v>
      </c>
      <c r="C59">
        <f t="shared" ca="1" si="14"/>
        <v>15.142138165287067</v>
      </c>
      <c r="D59">
        <f t="shared" ca="1" si="15"/>
        <v>12.646917062322053</v>
      </c>
      <c r="E59">
        <f t="shared" ca="1" si="12"/>
        <v>4.2978321436881375</v>
      </c>
      <c r="F59">
        <f t="shared" ca="1" si="16"/>
        <v>10.950489936566379</v>
      </c>
      <c r="G59">
        <f ca="1">$C$3*EXP(-$A$1*AmgEmpWS!$A59)</f>
        <v>0.20597949106922187</v>
      </c>
      <c r="H59">
        <f ca="1">$C$3*EXP(-$A$1*AmgEmpWS!$A59)</f>
        <v>0.20597949106922187</v>
      </c>
      <c r="I59">
        <v>59</v>
      </c>
      <c r="J59">
        <f>((Q59-EmpiricAMGcalc!$T$11)^2)/EmpiricAMGcalc!$T$11</f>
        <v>5.5520739857736361</v>
      </c>
      <c r="K59">
        <f>((R59-EmpiricAMGcalc!$T$12)^2)/EmpiricAMGcalc!$T$12</f>
        <v>3.1275272534137601E-6</v>
      </c>
      <c r="L59" s="12">
        <f t="shared" si="7"/>
        <v>200</v>
      </c>
      <c r="M59" s="12">
        <v>36</v>
      </c>
      <c r="N59" s="5">
        <f t="shared" si="8"/>
        <v>5.5520771133008893</v>
      </c>
      <c r="O59" s="14">
        <v>300</v>
      </c>
      <c r="P59" s="14">
        <v>13.5</v>
      </c>
      <c r="Q59">
        <f t="shared" si="9"/>
        <v>9.462377890839285</v>
      </c>
      <c r="R59">
        <f t="shared" si="13"/>
        <v>0.25088424081185695</v>
      </c>
      <c r="S59">
        <f t="shared" si="10"/>
        <v>38.98237706874459</v>
      </c>
    </row>
    <row r="60" spans="1:19" x14ac:dyDescent="0.25">
      <c r="A60">
        <v>28.5</v>
      </c>
      <c r="B60">
        <f ca="1">HLOOKUP(EmpiricAMGcalc!$J$32,AmgEmpWS!$C$1:$H$100,I60,FALSE)</f>
        <v>10.101819847092969</v>
      </c>
      <c r="C60">
        <f t="shared" ca="1" si="14"/>
        <v>13.968612612915082</v>
      </c>
      <c r="D60">
        <f t="shared" ca="1" si="15"/>
        <v>11.666772767681563</v>
      </c>
      <c r="E60">
        <f t="shared" ca="1" si="12"/>
        <v>3.9647473583448081</v>
      </c>
      <c r="F60">
        <f t="shared" ca="1" si="16"/>
        <v>10.101819847092969</v>
      </c>
      <c r="G60">
        <f ca="1">$C$3*EXP(-$A$1*AmgEmpWS!$A60)</f>
        <v>0.19001594659513638</v>
      </c>
      <c r="H60">
        <f ca="1">$C$3*EXP(-$A$1*AmgEmpWS!$A60)</f>
        <v>0.19001594659513638</v>
      </c>
      <c r="I60">
        <v>60</v>
      </c>
      <c r="J60">
        <f>((Q60-EmpiricAMGcalc!$T$11)^2)/EmpiricAMGcalc!$T$11</f>
        <v>4.0145809937405028</v>
      </c>
      <c r="K60">
        <f>((R60-EmpiricAMGcalc!$T$12)^2)/EmpiricAMGcalc!$T$12</f>
        <v>3.5302077050066279E-2</v>
      </c>
      <c r="L60" s="12">
        <f t="shared" si="7"/>
        <v>233.33333333333334</v>
      </c>
      <c r="M60" s="12">
        <v>36</v>
      </c>
      <c r="N60" s="5">
        <f t="shared" si="8"/>
        <v>4.0498830707905693</v>
      </c>
      <c r="O60" s="14">
        <v>350</v>
      </c>
      <c r="P60" s="14">
        <v>14.5</v>
      </c>
      <c r="Q60">
        <f t="shared" si="9"/>
        <v>11.039440872645834</v>
      </c>
      <c r="R60">
        <f t="shared" si="13"/>
        <v>0.34394423485513398</v>
      </c>
      <c r="S60">
        <f t="shared" si="10"/>
        <v>45.479439913535359</v>
      </c>
    </row>
    <row r="61" spans="1:19" x14ac:dyDescent="0.25">
      <c r="A61">
        <v>29</v>
      </c>
      <c r="B61">
        <f ca="1">HLOOKUP(EmpiricAMGcalc!$J$32,AmgEmpWS!$C$1:$H$100,I61,FALSE)</f>
        <v>9.3189222413110659</v>
      </c>
      <c r="C61">
        <f t="shared" ca="1" si="14"/>
        <v>12.886036053811903</v>
      </c>
      <c r="D61">
        <f t="shared" ca="1" si="15"/>
        <v>10.762590293110122</v>
      </c>
      <c r="E61">
        <f t="shared" ca="1" si="12"/>
        <v>3.6574768604184831</v>
      </c>
      <c r="F61">
        <f t="shared" ca="1" si="16"/>
        <v>9.3189222413110659</v>
      </c>
      <c r="G61">
        <f ca="1">$C$3*EXP(-$A$1*AmgEmpWS!$A61)</f>
        <v>0.17528958719638654</v>
      </c>
      <c r="H61">
        <f ca="1">$C$3*EXP(-$A$1*AmgEmpWS!$A61)</f>
        <v>0.17528958719638654</v>
      </c>
      <c r="I61">
        <v>61</v>
      </c>
      <c r="J61">
        <f>((Q61-EmpiricAMGcalc!$T$11)^2)/EmpiricAMGcalc!$T$11</f>
        <v>2.7258007665658277</v>
      </c>
      <c r="K61">
        <f>((R61-EmpiricAMGcalc!$T$12)^2)/EmpiricAMGcalc!$T$12</f>
        <v>0.179606226317227</v>
      </c>
      <c r="L61" s="12">
        <f t="shared" si="7"/>
        <v>266.66666666666669</v>
      </c>
      <c r="M61" s="12">
        <v>36</v>
      </c>
      <c r="N61" s="5">
        <f t="shared" si="8"/>
        <v>2.9054069928830546</v>
      </c>
      <c r="O61" s="14">
        <v>400</v>
      </c>
      <c r="P61" s="14">
        <v>15.5</v>
      </c>
      <c r="Q61">
        <f t="shared" si="9"/>
        <v>12.616503854452381</v>
      </c>
      <c r="R61">
        <f t="shared" si="13"/>
        <v>0.46189987394830312</v>
      </c>
      <c r="S61">
        <f t="shared" si="10"/>
        <v>51.976502758326113</v>
      </c>
    </row>
    <row r="62" spans="1:19" x14ac:dyDescent="0.25">
      <c r="A62">
        <v>29.5</v>
      </c>
      <c r="B62">
        <f ca="1">HLOOKUP(EmpiricAMGcalc!$J$32,AmgEmpWS!$C$1:$H$100,I62,FALSE)</f>
        <v>8.5966997089730253</v>
      </c>
      <c r="C62">
        <f t="shared" ca="1" si="14"/>
        <v>11.887359881869298</v>
      </c>
      <c r="D62">
        <f t="shared" ca="1" si="15"/>
        <v>9.9284825481662988</v>
      </c>
      <c r="E62">
        <f t="shared" ca="1" si="12"/>
        <v>3.3740200258513569</v>
      </c>
      <c r="F62">
        <f t="shared" ca="1" si="16"/>
        <v>8.5966997089730253</v>
      </c>
      <c r="G62">
        <f ca="1">$C$3*EXP(-$A$1*AmgEmpWS!$A62)</f>
        <v>0.16170453022528636</v>
      </c>
      <c r="H62">
        <f ca="1">$C$3*EXP(-$A$1*AmgEmpWS!$A62)</f>
        <v>0.16170453022528636</v>
      </c>
      <c r="I62">
        <v>62</v>
      </c>
      <c r="J62">
        <f>((Q62-EmpiricAMGcalc!$T$11)^2)/EmpiricAMGcalc!$T$11</f>
        <v>1.685733304249607</v>
      </c>
      <c r="K62">
        <f>((R62-EmpiricAMGcalc!$T$12)^2)/EmpiricAMGcalc!$T$12</f>
        <v>0.52017579540973935</v>
      </c>
      <c r="L62" s="12">
        <f t="shared" si="7"/>
        <v>300</v>
      </c>
      <c r="M62" s="12">
        <v>36</v>
      </c>
      <c r="N62" s="5">
        <f t="shared" si="8"/>
        <v>2.2059090996593462</v>
      </c>
      <c r="O62" s="14">
        <v>450</v>
      </c>
      <c r="P62" s="14">
        <v>16.5</v>
      </c>
      <c r="Q62">
        <f t="shared" si="9"/>
        <v>14.193566836258929</v>
      </c>
      <c r="R62">
        <f t="shared" si="13"/>
        <v>0.61061606848896077</v>
      </c>
      <c r="S62">
        <f t="shared" si="10"/>
        <v>58.473565603116882</v>
      </c>
    </row>
    <row r="63" spans="1:19" x14ac:dyDescent="0.25">
      <c r="A63">
        <v>30</v>
      </c>
      <c r="B63">
        <f ca="1">HLOOKUP(EmpiricAMGcalc!$J$32,AmgEmpWS!$C$1:$H$100,I63,FALSE)</f>
        <v>7.9304498924394435</v>
      </c>
      <c r="C63">
        <f t="shared" ca="1" si="14"/>
        <v>10.966081762535035</v>
      </c>
      <c r="D63">
        <f t="shared" ca="1" si="15"/>
        <v>9.1590186957453241</v>
      </c>
      <c r="E63">
        <f t="shared" ca="1" si="12"/>
        <v>3.1125312802507925</v>
      </c>
      <c r="F63">
        <f t="shared" ca="1" si="16"/>
        <v>7.9304498924394435</v>
      </c>
      <c r="G63">
        <f ca="1">$C$3*EXP(-$A$1*AmgEmpWS!$A63)</f>
        <v>0.14917232400168237</v>
      </c>
      <c r="H63">
        <f ca="1">$C$3*EXP(-$A$1*AmgEmpWS!$A63)</f>
        <v>0.14917232400168237</v>
      </c>
      <c r="I63">
        <v>63</v>
      </c>
      <c r="J63">
        <f>((Q63-EmpiricAMGcalc!$T$11)^2)/EmpiricAMGcalc!$T$11</f>
        <v>0.89437860679184333</v>
      </c>
      <c r="K63">
        <f>((R63-EmpiricAMGcalc!$T$12)^2)/EmpiricAMGcalc!$T$12</f>
        <v>1.1979226455140293</v>
      </c>
      <c r="L63" s="12">
        <f t="shared" si="7"/>
        <v>333.33333333333331</v>
      </c>
      <c r="M63" s="12">
        <v>36</v>
      </c>
      <c r="N63" s="5">
        <f t="shared" si="8"/>
        <v>2.0923012523058726</v>
      </c>
      <c r="O63" s="14">
        <v>500</v>
      </c>
      <c r="P63" s="14">
        <v>17.5</v>
      </c>
      <c r="Q63">
        <f t="shared" si="9"/>
        <v>15.770629818065476</v>
      </c>
      <c r="R63">
        <f t="shared" si="13"/>
        <v>0.79724826302009155</v>
      </c>
      <c r="S63">
        <f t="shared" si="10"/>
        <v>64.970628447907643</v>
      </c>
    </row>
    <row r="64" spans="1:19" x14ac:dyDescent="0.25">
      <c r="A64">
        <v>30.5</v>
      </c>
      <c r="B64">
        <f ca="1">HLOOKUP(EmpiricAMGcalc!$J$32,AmgEmpWS!$C$1:$H$100,I64,FALSE)</f>
        <v>7.3158348698451823</v>
      </c>
      <c r="C64">
        <f t="shared" ca="1" si="14"/>
        <v>10.116203296412131</v>
      </c>
      <c r="D64">
        <f t="shared" ca="1" si="15"/>
        <v>8.4491887921488722</v>
      </c>
      <c r="E64">
        <f t="shared" ca="1" si="12"/>
        <v>2.8713080824394721</v>
      </c>
      <c r="F64">
        <f t="shared" ca="1" si="16"/>
        <v>7.3158348698451823</v>
      </c>
      <c r="G64">
        <f ca="1">$C$3*EXP(-$A$1*AmgEmpWS!$A64)</f>
        <v>0.13761137190813982</v>
      </c>
      <c r="H64">
        <f ca="1">$C$3*EXP(-$A$1*AmgEmpWS!$A64)</f>
        <v>0.13761137190813982</v>
      </c>
      <c r="I64">
        <v>64</v>
      </c>
      <c r="J64">
        <f>((Q64-EmpiricAMGcalc!$T$11)^2)/EmpiricAMGcalc!$T$11</f>
        <v>0.35173667419253585</v>
      </c>
      <c r="K64">
        <f>((R64-EmpiricAMGcalc!$T$12)^2)/EmpiricAMGcalc!$T$12</f>
        <v>2.4368118706601094</v>
      </c>
      <c r="L64" s="12">
        <f t="shared" si="7"/>
        <v>366.66666666666669</v>
      </c>
      <c r="M64" s="12">
        <v>36</v>
      </c>
      <c r="N64" s="5">
        <f t="shared" si="8"/>
        <v>2.7885485448526453</v>
      </c>
      <c r="O64" s="14">
        <v>550</v>
      </c>
      <c r="P64" s="14">
        <v>18.5</v>
      </c>
      <c r="Q64">
        <f t="shared" si="9"/>
        <v>17.347692799872021</v>
      </c>
      <c r="R64">
        <f t="shared" si="13"/>
        <v>1.0305145531410849</v>
      </c>
      <c r="S64">
        <f t="shared" si="10"/>
        <v>71.467691292698419</v>
      </c>
    </row>
    <row r="65" spans="1:19" x14ac:dyDescent="0.25">
      <c r="A65">
        <v>31</v>
      </c>
      <c r="B65">
        <f ca="1">HLOOKUP(EmpiricAMGcalc!$J$32,AmgEmpWS!$C$1:$H$100,I65,FALSE)</f>
        <v>6.7488529110899185</v>
      </c>
      <c r="C65">
        <f t="shared" ca="1" si="14"/>
        <v>9.3321909639566858</v>
      </c>
      <c r="D65">
        <f t="shared" ca="1" si="15"/>
        <v>7.7943711675724225</v>
      </c>
      <c r="E65">
        <f t="shared" ca="1" si="12"/>
        <v>2.6487798392882151</v>
      </c>
      <c r="F65">
        <f t="shared" ca="1" si="16"/>
        <v>6.7488529110899185</v>
      </c>
      <c r="G65">
        <f ca="1">$C$3*EXP(-$A$1*AmgEmpWS!$A65)</f>
        <v>0.12694640111812422</v>
      </c>
      <c r="H65">
        <f ca="1">$C$3*EXP(-$A$1*AmgEmpWS!$A65)</f>
        <v>0.12694640111812422</v>
      </c>
      <c r="I65">
        <v>65</v>
      </c>
      <c r="J65">
        <f>((Q65-EmpiricAMGcalc!$T$11)^2)/EmpiricAMGcalc!$T$11</f>
        <v>5.7807506451683144E-2</v>
      </c>
      <c r="K65">
        <f>((R65-EmpiricAMGcalc!$T$12)^2)/EmpiricAMGcalc!$T$12</f>
        <v>4.5883655921043633</v>
      </c>
      <c r="L65" s="12">
        <f t="shared" si="7"/>
        <v>400</v>
      </c>
      <c r="M65" s="12">
        <v>36</v>
      </c>
      <c r="N65" s="5">
        <f t="shared" si="8"/>
        <v>4.6461730985560461</v>
      </c>
      <c r="O65" s="14">
        <v>600</v>
      </c>
      <c r="P65" s="14">
        <v>19.5</v>
      </c>
      <c r="Q65">
        <f t="shared" si="9"/>
        <v>18.92475578167857</v>
      </c>
      <c r="R65">
        <f t="shared" si="13"/>
        <v>1.3210235282317988</v>
      </c>
      <c r="S65">
        <f t="shared" si="10"/>
        <v>77.96475413748918</v>
      </c>
    </row>
    <row r="66" spans="1:19" x14ac:dyDescent="0.25">
      <c r="A66">
        <v>31.5</v>
      </c>
      <c r="B66">
        <f ca="1">HLOOKUP(EmpiricAMGcalc!$J$32,AmgEmpWS!$C$1:$H$100,I66,FALSE)</f>
        <v>6.2258124227578069</v>
      </c>
      <c r="C66">
        <f t="shared" ca="1" si="14"/>
        <v>8.6089400969870358</v>
      </c>
      <c r="D66">
        <f t="shared" ca="1" si="15"/>
        <v>7.1903023346260504</v>
      </c>
      <c r="E66">
        <f t="shared" ca="1" si="12"/>
        <v>2.4434976796564651</v>
      </c>
      <c r="F66">
        <f t="shared" ca="1" si="16"/>
        <v>6.2258124227578069</v>
      </c>
      <c r="G66">
        <f ca="1">$C$3*EXP(-$A$1*AmgEmpWS!$A66)</f>
        <v>0.11710797249809606</v>
      </c>
      <c r="H66">
        <f ca="1">$C$3*EXP(-$A$1*AmgEmpWS!$A66)</f>
        <v>0.11710797249809606</v>
      </c>
      <c r="I66">
        <v>66</v>
      </c>
      <c r="J66">
        <f>((Q66-EmpiricAMGcalc!$T$11)^2)/EmpiricAMGcalc!$T$11</f>
        <v>1.259110356928668E-2</v>
      </c>
      <c r="K66">
        <f>((R66-EmpiricAMGcalc!$T$12)^2)/EmpiricAMGcalc!$T$12</f>
        <v>8.198704636908797</v>
      </c>
      <c r="L66" s="12">
        <f t="shared" ref="L66:L91" si="17">O66*24/M66</f>
        <v>433.33333333333331</v>
      </c>
      <c r="M66" s="12">
        <v>36</v>
      </c>
      <c r="N66" s="5">
        <f t="shared" ref="N66:N91" si="18">SUM(J66:K66)</f>
        <v>8.211295740478084</v>
      </c>
      <c r="O66" s="14">
        <v>650</v>
      </c>
      <c r="P66" s="14">
        <v>20.5</v>
      </c>
      <c r="Q66">
        <f t="shared" ref="Q66:Q91" si="19">O66/$B$1/(1-EXP(-$A$1*M66))</f>
        <v>20.501818763485119</v>
      </c>
      <c r="R66">
        <f t="shared" si="13"/>
        <v>1.6816690117576756</v>
      </c>
      <c r="S66">
        <f t="shared" ref="S66:S91" si="20">O66*24/M66/$B$1/$A$1</f>
        <v>84.461816982279942</v>
      </c>
    </row>
    <row r="67" spans="1:19" x14ac:dyDescent="0.25">
      <c r="A67">
        <v>32</v>
      </c>
      <c r="B67">
        <f ca="1">HLOOKUP(EmpiricAMGcalc!$J$32,AmgEmpWS!$C$1:$H$100,I67,FALSE)</f>
        <v>5.7433079123227913</v>
      </c>
      <c r="C67">
        <f t="shared" ca="1" si="14"/>
        <v>7.9417416424243612</v>
      </c>
      <c r="D67">
        <f t="shared" ca="1" si="15"/>
        <v>6.6330492289644285</v>
      </c>
      <c r="E67">
        <f t="shared" ca="1" si="12"/>
        <v>2.2541250208590311</v>
      </c>
      <c r="F67">
        <f t="shared" ca="1" si="16"/>
        <v>5.7433079123227913</v>
      </c>
      <c r="G67">
        <f ca="1">$C$3*EXP(-$A$1*AmgEmpWS!$A67)</f>
        <v>0.10803202849251006</v>
      </c>
      <c r="H67">
        <f ca="1">$C$3*EXP(-$A$1*AmgEmpWS!$A67)</f>
        <v>0.10803202849251006</v>
      </c>
      <c r="I67">
        <v>67</v>
      </c>
      <c r="J67">
        <f>((Q67-EmpiricAMGcalc!$T$11)^2)/EmpiricAMGcalc!$T$11</f>
        <v>0.21608746554534647</v>
      </c>
      <c r="K67">
        <f>((R67-EmpiricAMGcalc!$T$12)^2)/EmpiricAMGcalc!$T$12</f>
        <v>14.109114686001311</v>
      </c>
      <c r="L67" s="12">
        <f t="shared" si="17"/>
        <v>466.66666666666669</v>
      </c>
      <c r="M67" s="12">
        <v>36</v>
      </c>
      <c r="N67" s="5">
        <f t="shared" si="18"/>
        <v>14.325202151546657</v>
      </c>
      <c r="O67" s="14">
        <v>700</v>
      </c>
      <c r="P67" s="14">
        <v>21.5</v>
      </c>
      <c r="Q67">
        <f t="shared" si="19"/>
        <v>22.078881745291667</v>
      </c>
      <c r="R67">
        <f t="shared" si="13"/>
        <v>2.1281050746697661</v>
      </c>
      <c r="S67">
        <f t="shared" si="20"/>
        <v>90.958879827070717</v>
      </c>
    </row>
    <row r="68" spans="1:19" x14ac:dyDescent="0.25">
      <c r="A68">
        <v>32.5</v>
      </c>
      <c r="B68">
        <f ca="1">HLOOKUP(EmpiricAMGcalc!$J$32,AmgEmpWS!$C$1:$H$100,I68,FALSE)</f>
        <v>5.2981978151436451</v>
      </c>
      <c r="C68">
        <f ca="1">$C$67+C3</f>
        <v>26.809666170726249</v>
      </c>
      <c r="D68">
        <f t="shared" ca="1" si="15"/>
        <v>6.1189836012860495</v>
      </c>
      <c r="E68">
        <f ca="1">E3+E67</f>
        <v>21.12204954916092</v>
      </c>
      <c r="F68">
        <f t="shared" ca="1" si="16"/>
        <v>5.2981978151436451</v>
      </c>
      <c r="G68">
        <f ca="1">$C$3*EXP(-$A$1*AmgEmpWS!$A68)</f>
        <v>9.9659476048022722E-2</v>
      </c>
      <c r="H68">
        <f ca="1">$C$3*EXP(-$A$1*AmgEmpWS!$A68)</f>
        <v>9.9659476048022722E-2</v>
      </c>
      <c r="I68">
        <v>68</v>
      </c>
      <c r="J68">
        <f>((Q68-EmpiricAMGcalc!$T$11)^2)/EmpiricAMGcalc!$T$11</f>
        <v>0.66829659237986117</v>
      </c>
      <c r="K68">
        <f>((R68-EmpiricAMGcalc!$T$12)^2)/EmpiricAMGcalc!$T$12</f>
        <v>23.606330766647499</v>
      </c>
      <c r="L68" s="12">
        <f t="shared" si="17"/>
        <v>500</v>
      </c>
      <c r="M68" s="12">
        <v>36</v>
      </c>
      <c r="N68" s="5">
        <f t="shared" si="18"/>
        <v>24.27462735902736</v>
      </c>
      <c r="O68" s="14">
        <v>750</v>
      </c>
      <c r="P68" s="14">
        <v>22.5</v>
      </c>
      <c r="Q68">
        <f t="shared" si="19"/>
        <v>23.655944727098213</v>
      </c>
      <c r="R68">
        <f t="shared" si="13"/>
        <v>2.6793173303753206</v>
      </c>
      <c r="S68">
        <f t="shared" si="20"/>
        <v>97.455942671861465</v>
      </c>
    </row>
    <row r="69" spans="1:19" x14ac:dyDescent="0.25">
      <c r="A69">
        <v>33</v>
      </c>
      <c r="B69">
        <f ca="1">HLOOKUP(EmpiricAMGcalc!$J$32,AmgEmpWS!$C$1:$H$100,I69,FALSE)</f>
        <v>4.8875840398813049</v>
      </c>
      <c r="C69">
        <f t="shared" ref="C69:C83" ca="1" si="21">$C$68*EXP(-$A$1*(A69-32.5))</f>
        <v>24.731899612365595</v>
      </c>
      <c r="D69">
        <f t="shared" ca="1" si="15"/>
        <v>5.6447583939691546</v>
      </c>
      <c r="E69">
        <f t="shared" ref="E69:E100" ca="1" si="22">$E$68*EXP(-$A$1*(A69-32.5))</f>
        <v>19.48507697673838</v>
      </c>
      <c r="F69">
        <f t="shared" ca="1" si="16"/>
        <v>4.8875840398813049</v>
      </c>
      <c r="G69">
        <f ca="1">$C$3*EXP(-$A$1*AmgEmpWS!$A69)</f>
        <v>9.1935801861343522E-2</v>
      </c>
      <c r="H69">
        <f ca="1">$C$3*EXP(-$A$1*AmgEmpWS!$A69)</f>
        <v>9.1935801861343522E-2</v>
      </c>
      <c r="I69">
        <v>69</v>
      </c>
      <c r="J69">
        <f>((Q69-EmpiricAMGcalc!$T$11)^2)/EmpiricAMGcalc!$T$11</f>
        <v>1.369218484072833</v>
      </c>
      <c r="K69">
        <f>((R69-EmpiricAMGcalc!$T$12)^2)/EmpiricAMGcalc!$T$12</f>
        <v>38.646355886054991</v>
      </c>
      <c r="L69" s="12">
        <f t="shared" si="17"/>
        <v>533.33333333333337</v>
      </c>
      <c r="M69" s="12">
        <v>36</v>
      </c>
      <c r="N69" s="5">
        <f t="shared" si="18"/>
        <v>40.015574370127823</v>
      </c>
      <c r="O69" s="14">
        <v>800</v>
      </c>
      <c r="P69" s="14">
        <v>23.5</v>
      </c>
      <c r="Q69">
        <f t="shared" si="19"/>
        <v>25.233007708904761</v>
      </c>
      <c r="R69">
        <f t="shared" si="13"/>
        <v>3.3583096646752795</v>
      </c>
      <c r="S69">
        <f t="shared" si="20"/>
        <v>103.95300551665223</v>
      </c>
    </row>
    <row r="70" spans="1:19" x14ac:dyDescent="0.25">
      <c r="A70">
        <v>33.5</v>
      </c>
      <c r="B70">
        <f ca="1">HLOOKUP(EmpiricAMGcalc!$J$32,AmgEmpWS!$C$1:$H$100,I70,FALSE)</f>
        <v>4.5087930991596616</v>
      </c>
      <c r="C70">
        <f t="shared" ca="1" si="21"/>
        <v>22.815161313124253</v>
      </c>
      <c r="D70">
        <f t="shared" ca="1" si="15"/>
        <v>5.2072859485337419</v>
      </c>
      <c r="E70">
        <f t="shared" ca="1" si="22"/>
        <v>17.974970842945616</v>
      </c>
      <c r="F70">
        <f t="shared" ca="1" si="16"/>
        <v>4.5087930991596616</v>
      </c>
      <c r="G70">
        <f ca="1">$C$3*EXP(-$A$1*AmgEmpWS!$A70)</f>
        <v>8.4810717445628209E-2</v>
      </c>
      <c r="H70">
        <f ca="1">$C$3*EXP(-$A$1*AmgEmpWS!$A70)</f>
        <v>8.4810717445628209E-2</v>
      </c>
      <c r="I70">
        <v>70</v>
      </c>
      <c r="J70">
        <f>((Q70-EmpiricAMGcalc!$T$11)^2)/EmpiricAMGcalc!$T$11</f>
        <v>2.318853140624261</v>
      </c>
      <c r="K70">
        <f>((R70-EmpiricAMGcalc!$T$12)^2)/EmpiricAMGcalc!$T$12</f>
        <v>62.186766158981605</v>
      </c>
      <c r="L70" s="12">
        <f t="shared" si="17"/>
        <v>566.66666666666663</v>
      </c>
      <c r="M70" s="12">
        <v>36</v>
      </c>
      <c r="N70" s="5">
        <f t="shared" si="18"/>
        <v>64.505619299605868</v>
      </c>
      <c r="O70" s="14">
        <v>850</v>
      </c>
      <c r="P70" s="14">
        <v>24.5</v>
      </c>
      <c r="Q70">
        <f t="shared" si="19"/>
        <v>26.81007069071131</v>
      </c>
      <c r="R70">
        <f t="shared" si="13"/>
        <v>4.1929293095039633</v>
      </c>
      <c r="S70">
        <f t="shared" si="20"/>
        <v>110.45006836144299</v>
      </c>
    </row>
    <row r="71" spans="1:19" x14ac:dyDescent="0.25">
      <c r="A71">
        <v>34</v>
      </c>
      <c r="B71">
        <f ca="1">HLOOKUP(EmpiricAMGcalc!$J$32,AmgEmpWS!$C$1:$H$100,I71,FALSE)</f>
        <v>4.1593587026124004</v>
      </c>
      <c r="C71">
        <f t="shared" ca="1" si="21"/>
        <v>21.046971478229</v>
      </c>
      <c r="D71">
        <f t="shared" ca="1" si="15"/>
        <v>4.8037179020394261</v>
      </c>
      <c r="E71">
        <f t="shared" ca="1" si="22"/>
        <v>16.581898916307434</v>
      </c>
      <c r="F71">
        <f t="shared" ca="1" si="16"/>
        <v>4.1593587026124004</v>
      </c>
      <c r="G71">
        <f ca="1">$C$3*EXP(-$A$1*AmgEmpWS!$A71)</f>
        <v>7.8237831704458013E-2</v>
      </c>
      <c r="H71">
        <f ca="1">$C$3*EXP(-$A$1*AmgEmpWS!$A71)</f>
        <v>7.8237831704458013E-2</v>
      </c>
      <c r="I71">
        <v>71</v>
      </c>
      <c r="J71">
        <f>((Q71-EmpiricAMGcalc!$T$11)^2)/EmpiricAMGcalc!$T$11</f>
        <v>3.5172005620341453</v>
      </c>
      <c r="K71">
        <f>((R71-EmpiricAMGcalc!$T$12)^2)/EmpiricAMGcalc!$T$12</f>
        <v>98.678699766414368</v>
      </c>
      <c r="L71" s="12">
        <f t="shared" si="17"/>
        <v>600</v>
      </c>
      <c r="M71" s="12">
        <v>36</v>
      </c>
      <c r="N71" s="5">
        <f t="shared" si="18"/>
        <v>102.19590032844852</v>
      </c>
      <c r="O71" s="14">
        <v>900</v>
      </c>
      <c r="P71" s="14">
        <v>25.5</v>
      </c>
      <c r="Q71">
        <f t="shared" si="19"/>
        <v>28.387133672517859</v>
      </c>
      <c r="R71">
        <f t="shared" si="13"/>
        <v>5.216857652641516</v>
      </c>
      <c r="S71">
        <f t="shared" si="20"/>
        <v>116.94713120623376</v>
      </c>
    </row>
    <row r="72" spans="1:19" x14ac:dyDescent="0.25">
      <c r="A72">
        <v>34.5</v>
      </c>
      <c r="B72">
        <f ca="1">HLOOKUP(EmpiricAMGcalc!$J$32,AmgEmpWS!$C$1:$H$100,I72,FALSE)</f>
        <v>3.8370056989800441</v>
      </c>
      <c r="C72">
        <f t="shared" ca="1" si="21"/>
        <v>19.415817505115204</v>
      </c>
      <c r="D72">
        <f t="shared" ca="1" si="15"/>
        <v>4.4314266415255492</v>
      </c>
      <c r="E72">
        <f t="shared" ca="1" si="22"/>
        <v>15.296790969680321</v>
      </c>
      <c r="F72">
        <f t="shared" ca="1" si="16"/>
        <v>3.8370056989800441</v>
      </c>
      <c r="G72">
        <f ca="1">$C$3*EXP(-$A$1*AmgEmpWS!$A72)</f>
        <v>7.2174348881547168E-2</v>
      </c>
      <c r="H72">
        <f ca="1">$C$3*EXP(-$A$1*AmgEmpWS!$A72)</f>
        <v>7.2174348881547168E-2</v>
      </c>
      <c r="I72">
        <v>72</v>
      </c>
      <c r="J72">
        <f>((Q72-EmpiricAMGcalc!$T$11)^2)/EmpiricAMGcalc!$T$11</f>
        <v>4.9642607483024817</v>
      </c>
      <c r="K72">
        <f>((R72-EmpiricAMGcalc!$T$12)^2)/EmpiricAMGcalc!$T$12</f>
        <v>154.79338699889394</v>
      </c>
      <c r="L72" s="12">
        <f t="shared" si="17"/>
        <v>633.33333333333337</v>
      </c>
      <c r="M72" s="12">
        <v>36</v>
      </c>
      <c r="N72" s="5">
        <f t="shared" si="18"/>
        <v>159.75764774719642</v>
      </c>
      <c r="O72" s="14">
        <v>950</v>
      </c>
      <c r="P72" s="14">
        <v>26.5</v>
      </c>
      <c r="Q72">
        <f t="shared" si="19"/>
        <v>29.964196654324404</v>
      </c>
      <c r="R72">
        <f t="shared" si="13"/>
        <v>6.470799526565977</v>
      </c>
      <c r="S72">
        <f t="shared" si="20"/>
        <v>123.44419405102454</v>
      </c>
    </row>
    <row r="73" spans="1:19" x14ac:dyDescent="0.25">
      <c r="A73">
        <v>35</v>
      </c>
      <c r="B73">
        <f ca="1">HLOOKUP(EmpiricAMGcalc!$J$32,AmgEmpWS!$C$1:$H$100,I73,FALSE)</f>
        <v>3.5396352627048939</v>
      </c>
      <c r="C73">
        <f t="shared" ca="1" si="21"/>
        <v>17.911079025401829</v>
      </c>
      <c r="D73">
        <f t="shared" ca="1" si="15"/>
        <v>4.087988195744229</v>
      </c>
      <c r="E73">
        <f t="shared" ca="1" si="22"/>
        <v>14.111279724421351</v>
      </c>
      <c r="F73">
        <f t="shared" ca="1" si="16"/>
        <v>3.5396352627048939</v>
      </c>
      <c r="G73">
        <f ca="1">$C$3*EXP(-$A$1*AmgEmpWS!$A73)</f>
        <v>6.6580789919545733E-2</v>
      </c>
      <c r="H73">
        <f ca="1">$C$3*EXP(-$A$1*AmgEmpWS!$A73)</f>
        <v>6.6580789919545733E-2</v>
      </c>
      <c r="I73">
        <v>73</v>
      </c>
      <c r="J73">
        <f>((Q73-EmpiricAMGcalc!$T$11)^2)/EmpiricAMGcalc!$T$11</f>
        <v>6.6600336994292793</v>
      </c>
      <c r="K73">
        <f>((R73-EmpiricAMGcalc!$T$12)^2)/EmpiricAMGcalc!$T$12</f>
        <v>240.49248764471497</v>
      </c>
      <c r="L73" s="12">
        <f t="shared" si="17"/>
        <v>666.66666666666663</v>
      </c>
      <c r="M73" s="12">
        <v>36</v>
      </c>
      <c r="N73" s="5">
        <f t="shared" si="18"/>
        <v>247.15252134414425</v>
      </c>
      <c r="O73" s="14">
        <v>1000</v>
      </c>
      <c r="P73" s="14">
        <v>27.5</v>
      </c>
      <c r="Q73">
        <f t="shared" si="19"/>
        <v>31.541259636130953</v>
      </c>
      <c r="R73">
        <f t="shared" si="13"/>
        <v>8.0039101046619532</v>
      </c>
      <c r="S73">
        <f t="shared" si="20"/>
        <v>129.94125689581529</v>
      </c>
    </row>
    <row r="74" spans="1:19" x14ac:dyDescent="0.25">
      <c r="A74">
        <v>35.5</v>
      </c>
      <c r="B74">
        <f ca="1">HLOOKUP(EmpiricAMGcalc!$J$32,AmgEmpWS!$C$1:$H$100,I74,FALSE)</f>
        <v>3.2653112285745158</v>
      </c>
      <c r="C74">
        <f t="shared" ca="1" si="21"/>
        <v>16.522958756162133</v>
      </c>
      <c r="D74">
        <f t="shared" ca="1" si="15"/>
        <v>3.7711664527952244</v>
      </c>
      <c r="E74">
        <f t="shared" ca="1" si="22"/>
        <v>13.017646371422341</v>
      </c>
      <c r="F74">
        <f t="shared" ca="1" si="16"/>
        <v>3.2653112285745158</v>
      </c>
      <c r="G74">
        <f ca="1">$C$3*EXP(-$A$1*AmgEmpWS!$A74)</f>
        <v>6.1420735413715184E-2</v>
      </c>
      <c r="H74">
        <f ca="1">$C$3*EXP(-$A$1*AmgEmpWS!$A74)</f>
        <v>6.1420735413715184E-2</v>
      </c>
      <c r="I74">
        <v>74</v>
      </c>
      <c r="J74">
        <f>((Q74-EmpiricAMGcalc!$T$11)^2)/EmpiricAMGcalc!$T$11</f>
        <v>11.675408825363988</v>
      </c>
      <c r="K74">
        <f>((R74-EmpiricAMGcalc!$T$12)^2)/EmpiricAMGcalc!$T$12</f>
        <v>8.8302038655548119E-3</v>
      </c>
      <c r="L74" s="12">
        <f t="shared" si="17"/>
        <v>75</v>
      </c>
      <c r="M74" s="12">
        <v>48</v>
      </c>
      <c r="N74" s="5">
        <f t="shared" si="18"/>
        <v>11.684239029229543</v>
      </c>
      <c r="O74" s="14">
        <v>150</v>
      </c>
      <c r="P74" s="14">
        <v>28.5</v>
      </c>
      <c r="Q74">
        <f t="shared" si="19"/>
        <v>4.7190256689149646</v>
      </c>
      <c r="R74">
        <f t="shared" si="13"/>
        <v>0.20301541777999188</v>
      </c>
      <c r="S74">
        <f t="shared" si="20"/>
        <v>14.61839140077922</v>
      </c>
    </row>
    <row r="75" spans="1:19" x14ac:dyDescent="0.25">
      <c r="A75">
        <v>36</v>
      </c>
      <c r="B75">
        <f ca="1">HLOOKUP(EmpiricAMGcalc!$J$32,AmgEmpWS!$C$1:$H$100,I75,FALSE)</f>
        <v>3.0122474854392212</v>
      </c>
      <c r="C75">
        <f t="shared" ca="1" si="21"/>
        <v>15.242418710265843</v>
      </c>
      <c r="D75">
        <f t="shared" ca="1" si="15"/>
        <v>3.4788986009043543</v>
      </c>
      <c r="E75">
        <f t="shared" ca="1" si="22"/>
        <v>12.00877031429934</v>
      </c>
      <c r="F75">
        <f t="shared" ca="1" si="16"/>
        <v>3.0122474854392212</v>
      </c>
      <c r="G75">
        <f ca="1">G3+G74</f>
        <v>18.929345263715604</v>
      </c>
      <c r="H75">
        <f ca="1">$C$3*EXP(-$A$1*AmgEmpWS!$A75)</f>
        <v>5.6660588486862291E-2</v>
      </c>
      <c r="I75">
        <v>75</v>
      </c>
      <c r="J75">
        <f>((Q75-EmpiricAMGcalc!$T$11)^2)/EmpiricAMGcalc!$T$11</f>
        <v>9.395416284127057</v>
      </c>
      <c r="K75">
        <f>((R75-EmpiricAMGcalc!$T$12)^2)/EmpiricAMGcalc!$T$12</f>
        <v>1.853924944176101E-2</v>
      </c>
      <c r="L75" s="12">
        <f t="shared" si="17"/>
        <v>100</v>
      </c>
      <c r="M75" s="12">
        <v>48</v>
      </c>
      <c r="N75" s="5">
        <f t="shared" si="18"/>
        <v>9.4139555335688172</v>
      </c>
      <c r="O75" s="14">
        <v>200</v>
      </c>
      <c r="P75" s="14">
        <v>29.5</v>
      </c>
      <c r="Q75">
        <f t="shared" si="19"/>
        <v>6.2920342252199521</v>
      </c>
      <c r="R75">
        <f t="shared" si="13"/>
        <v>0.31807945622902883</v>
      </c>
      <c r="S75">
        <f t="shared" si="20"/>
        <v>19.491188534372295</v>
      </c>
    </row>
    <row r="76" spans="1:19" x14ac:dyDescent="0.25">
      <c r="A76">
        <v>36.5</v>
      </c>
      <c r="B76">
        <f ca="1">HLOOKUP(EmpiricAMGcalc!$J$32,AmgEmpWS!$C$1:$H$100,I76,FALSE)</f>
        <v>2.7787963469246519</v>
      </c>
      <c r="C76">
        <f t="shared" ca="1" si="21"/>
        <v>14.061121350461265</v>
      </c>
      <c r="D76">
        <f ca="1">D3+D75</f>
        <v>22.346823129206243</v>
      </c>
      <c r="E76">
        <f t="shared" ca="1" si="22"/>
        <v>11.07808280751755</v>
      </c>
      <c r="F76">
        <f t="shared" ca="1" si="16"/>
        <v>2.7787963469246519</v>
      </c>
      <c r="G76">
        <f t="shared" ref="G76:G100" ca="1" si="23">$G$75*EXP(-$A$1*(A76-36))</f>
        <v>17.462308698987446</v>
      </c>
      <c r="H76">
        <f ca="1">$C$3*EXP(-$A$1*AmgEmpWS!$A76)</f>
        <v>5.2269356041618892E-2</v>
      </c>
      <c r="I76">
        <v>76</v>
      </c>
      <c r="J76">
        <f>((Q76-EmpiricAMGcalc!$T$11)^2)/EmpiricAMGcalc!$T$11</f>
        <v>7.362859334710997</v>
      </c>
      <c r="K76">
        <f>((R76-EmpiricAMGcalc!$T$12)^2)/EmpiricAMGcalc!$T$12</f>
        <v>0.18872329012732192</v>
      </c>
      <c r="L76" s="12">
        <f t="shared" si="17"/>
        <v>125</v>
      </c>
      <c r="M76" s="12">
        <v>48</v>
      </c>
      <c r="N76" s="5">
        <f t="shared" si="18"/>
        <v>7.5515826248383187</v>
      </c>
      <c r="O76" s="14">
        <v>250</v>
      </c>
      <c r="P76" s="14">
        <v>30.5</v>
      </c>
      <c r="Q76">
        <f t="shared" si="19"/>
        <v>7.8650427815249406</v>
      </c>
      <c r="R76">
        <f t="shared" si="13"/>
        <v>0.46721146961390064</v>
      </c>
      <c r="S76">
        <f t="shared" si="20"/>
        <v>24.363985667965366</v>
      </c>
    </row>
    <row r="77" spans="1:19" x14ac:dyDescent="0.25">
      <c r="A77">
        <v>37</v>
      </c>
      <c r="B77">
        <f ca="1">HLOOKUP(EmpiricAMGcalc!$J$32,AmgEmpWS!$C$1:$H$100,I77,FALSE)</f>
        <v>2.5634378234216944</v>
      </c>
      <c r="C77">
        <f t="shared" ca="1" si="21"/>
        <v>12.971375304054304</v>
      </c>
      <c r="D77">
        <f t="shared" ref="D77:D99" ca="1" si="24">$D$76*EXP(-$A$1*(A77-36.5))</f>
        <v>20.614929808051645</v>
      </c>
      <c r="E77">
        <f t="shared" ca="1" si="22"/>
        <v>10.219524187591754</v>
      </c>
      <c r="F77">
        <f t="shared" ca="1" si="16"/>
        <v>2.5634378234216944</v>
      </c>
      <c r="G77">
        <f t="shared" ca="1" si="23"/>
        <v>16.108968421809966</v>
      </c>
      <c r="H77">
        <f ca="1">$C$3*EXP(-$A$1*AmgEmpWS!$A77)</f>
        <v>4.8218446965812983E-2</v>
      </c>
      <c r="I77">
        <v>77</v>
      </c>
      <c r="J77">
        <f>((Q77-EmpiricAMGcalc!$T$11)^2)/EmpiricAMGcalc!$T$11</f>
        <v>5.5777379771158078</v>
      </c>
      <c r="K77">
        <f>((R77-EmpiricAMGcalc!$T$12)^2)/EmpiricAMGcalc!$T$12</f>
        <v>0.66851447878949799</v>
      </c>
      <c r="L77" s="12">
        <f t="shared" si="17"/>
        <v>150</v>
      </c>
      <c r="M77" s="12">
        <v>48</v>
      </c>
      <c r="N77" s="5">
        <f t="shared" si="18"/>
        <v>6.2462524559053056</v>
      </c>
      <c r="O77" s="14">
        <v>300</v>
      </c>
      <c r="P77" s="14">
        <v>31.5</v>
      </c>
      <c r="Q77">
        <f t="shared" si="19"/>
        <v>9.4380513378299291</v>
      </c>
      <c r="R77">
        <f t="shared" si="13"/>
        <v>0.6588136735694814</v>
      </c>
      <c r="S77">
        <f t="shared" si="20"/>
        <v>29.236782801558441</v>
      </c>
    </row>
    <row r="78" spans="1:19" x14ac:dyDescent="0.25">
      <c r="A78">
        <v>37.5</v>
      </c>
      <c r="B78">
        <f ca="1">HLOOKUP(EmpiricAMGcalc!$J$32,AmgEmpWS!$C$1:$H$100,I78,FALSE)</f>
        <v>2.3647697255041535</v>
      </c>
      <c r="C78">
        <f t="shared" ca="1" si="21"/>
        <v>11.966085284735158</v>
      </c>
      <c r="D78">
        <f t="shared" ca="1" si="24"/>
        <v>19.017259345265664</v>
      </c>
      <c r="E78">
        <f t="shared" ca="1" si="22"/>
        <v>9.4275044188964863</v>
      </c>
      <c r="F78">
        <f t="shared" ca="1" si="16"/>
        <v>2.3647697255041535</v>
      </c>
      <c r="G78">
        <f t="shared" ca="1" si="23"/>
        <v>14.860512895979081</v>
      </c>
      <c r="H78">
        <f ca="1">$C$3*EXP(-$A$1*AmgEmpWS!$A78)</f>
        <v>4.4481485977054078E-2</v>
      </c>
      <c r="I78">
        <v>78</v>
      </c>
      <c r="J78">
        <f>((Q78-EmpiricAMGcalc!$T$11)^2)/EmpiricAMGcalc!$T$11</f>
        <v>4.0400522113414876</v>
      </c>
      <c r="K78">
        <f>((R78-EmpiricAMGcalc!$T$12)^2)/EmpiricAMGcalc!$T$12</f>
        <v>1.7066084469373086</v>
      </c>
      <c r="L78" s="12">
        <f t="shared" si="17"/>
        <v>175</v>
      </c>
      <c r="M78" s="12">
        <v>48</v>
      </c>
      <c r="N78" s="5">
        <f t="shared" si="18"/>
        <v>5.7466606582787962</v>
      </c>
      <c r="O78" s="14">
        <v>350</v>
      </c>
      <c r="P78" s="14">
        <v>32.5</v>
      </c>
      <c r="Q78">
        <f t="shared" si="19"/>
        <v>11.011059894134918</v>
      </c>
      <c r="R78">
        <f t="shared" si="13"/>
        <v>0.9031861233479529</v>
      </c>
      <c r="S78">
        <f t="shared" si="20"/>
        <v>34.109579935151515</v>
      </c>
    </row>
    <row r="79" spans="1:19" x14ac:dyDescent="0.25">
      <c r="A79">
        <v>38</v>
      </c>
      <c r="B79">
        <f ca="1">HLOOKUP(EmpiricAMGcalc!$J$32,AmgEmpWS!$C$1:$H$100,I79,FALSE)</f>
        <v>2.1814985343379889</v>
      </c>
      <c r="C79">
        <f t="shared" ca="1" si="21"/>
        <v>11.038705895495983</v>
      </c>
      <c r="D79">
        <f t="shared" ca="1" si="24"/>
        <v>17.543409382060617</v>
      </c>
      <c r="E79">
        <f t="shared" ca="1" si="22"/>
        <v>8.69686669720158</v>
      </c>
      <c r="F79">
        <f t="shared" ca="1" si="16"/>
        <v>2.1814985343379889</v>
      </c>
      <c r="G79">
        <f t="shared" ca="1" si="23"/>
        <v>13.708813485075297</v>
      </c>
      <c r="H79">
        <f ca="1">$C$3*EXP(-$A$1*AmgEmpWS!$A79)</f>
        <v>4.1034141894484809E-2</v>
      </c>
      <c r="I79">
        <v>79</v>
      </c>
      <c r="J79">
        <f>((Q79-EmpiricAMGcalc!$T$11)^2)/EmpiricAMGcalc!$T$11</f>
        <v>2.7498020373880401</v>
      </c>
      <c r="K79">
        <f>((R79-EmpiricAMGcalc!$T$12)^2)/EmpiricAMGcalc!$T$12</f>
        <v>3.7089653129295228</v>
      </c>
      <c r="L79" s="12">
        <f t="shared" si="17"/>
        <v>200</v>
      </c>
      <c r="M79" s="12">
        <v>48</v>
      </c>
      <c r="N79" s="5">
        <f t="shared" si="18"/>
        <v>6.4587673503175633</v>
      </c>
      <c r="O79" s="14">
        <v>400</v>
      </c>
      <c r="P79" s="14">
        <v>33.5</v>
      </c>
      <c r="Q79">
        <f t="shared" si="19"/>
        <v>12.584068450439904</v>
      </c>
      <c r="R79">
        <f t="shared" si="13"/>
        <v>1.2129337091577908</v>
      </c>
      <c r="S79">
        <f t="shared" si="20"/>
        <v>38.98237706874459</v>
      </c>
    </row>
    <row r="80" spans="1:19" x14ac:dyDescent="0.25">
      <c r="A80">
        <v>38.5</v>
      </c>
      <c r="B80">
        <f ca="1">HLOOKUP(EmpiricAMGcalc!$J$32,AmgEmpWS!$C$1:$H$100,I80,FALSE)</f>
        <v>2.0124309796397699</v>
      </c>
      <c r="C80">
        <f t="shared" ca="1" si="21"/>
        <v>10.1831990118525</v>
      </c>
      <c r="D80">
        <f t="shared" ca="1" si="24"/>
        <v>16.183783749217884</v>
      </c>
      <c r="E80">
        <f t="shared" ca="1" si="22"/>
        <v>8.0228538739573736</v>
      </c>
      <c r="F80">
        <f t="shared" ca="1" si="16"/>
        <v>2.0124309796397699</v>
      </c>
      <c r="G80">
        <f t="shared" ca="1" si="23"/>
        <v>12.646371527286407</v>
      </c>
      <c r="H80">
        <f ca="1">$C$3*EXP(-$A$1*AmgEmpWS!$A80)</f>
        <v>3.7853969219582853E-2</v>
      </c>
      <c r="I80">
        <v>80</v>
      </c>
      <c r="J80">
        <f>((Q80-EmpiricAMGcalc!$T$11)^2)/EmpiricAMGcalc!$T$11</f>
        <v>1.7069874552554605</v>
      </c>
      <c r="K80">
        <f>((R80-EmpiricAMGcalc!$T$12)^2)/EmpiricAMGcalc!$T$12</f>
        <v>7.3273887162434139</v>
      </c>
      <c r="L80" s="12">
        <f t="shared" si="17"/>
        <v>225</v>
      </c>
      <c r="M80" s="12">
        <v>48</v>
      </c>
      <c r="N80" s="5">
        <f t="shared" si="18"/>
        <v>9.0343761714988737</v>
      </c>
      <c r="O80" s="14">
        <v>450</v>
      </c>
      <c r="P80" s="14">
        <v>34.5</v>
      </c>
      <c r="Q80">
        <f t="shared" si="19"/>
        <v>14.157077006744894</v>
      </c>
      <c r="R80">
        <f t="shared" si="13"/>
        <v>1.6034574906737387</v>
      </c>
      <c r="S80">
        <f t="shared" si="20"/>
        <v>43.855174202337665</v>
      </c>
    </row>
    <row r="81" spans="1:19" x14ac:dyDescent="0.25">
      <c r="A81">
        <v>39</v>
      </c>
      <c r="B81">
        <f ca="1">HLOOKUP(EmpiricAMGcalc!$J$32,AmgEmpWS!$C$1:$H$100,I81,FALSE)</f>
        <v>1.8564662703488297</v>
      </c>
      <c r="C81">
        <f t="shared" ca="1" si="21"/>
        <v>9.3939944678935987</v>
      </c>
      <c r="D81">
        <f t="shared" ca="1" si="24"/>
        <v>14.929529986872188</v>
      </c>
      <c r="E81">
        <f t="shared" ca="1" si="22"/>
        <v>7.4010774827196268</v>
      </c>
      <c r="F81">
        <f t="shared" ca="1" si="16"/>
        <v>1.8564662703488297</v>
      </c>
      <c r="G81">
        <f t="shared" ca="1" si="23"/>
        <v>11.666269511965853</v>
      </c>
      <c r="H81">
        <f ca="1">$C$3*EXP(-$A$1*AmgEmpWS!$A81)</f>
        <v>3.4920261994554336E-2</v>
      </c>
      <c r="I81">
        <v>81</v>
      </c>
      <c r="J81">
        <f>((Q81-EmpiricAMGcalc!$T$11)^2)/EmpiricAMGcalc!$T$11</f>
        <v>0.91160846494375247</v>
      </c>
      <c r="K81">
        <f>((R81-EmpiricAMGcalc!$T$12)^2)/EmpiricAMGcalc!$T$12</f>
        <v>13.594668467133928</v>
      </c>
      <c r="L81" s="12">
        <f t="shared" si="17"/>
        <v>250</v>
      </c>
      <c r="M81" s="12">
        <v>48</v>
      </c>
      <c r="N81" s="5">
        <f t="shared" si="18"/>
        <v>14.506276932077681</v>
      </c>
      <c r="O81" s="14">
        <v>500</v>
      </c>
      <c r="P81" s="14">
        <v>35.5</v>
      </c>
      <c r="Q81">
        <f t="shared" si="19"/>
        <v>15.730085563049881</v>
      </c>
      <c r="R81">
        <f t="shared" si="13"/>
        <v>2.0935474273214352</v>
      </c>
      <c r="S81">
        <f t="shared" si="20"/>
        <v>48.727971335930732</v>
      </c>
    </row>
    <row r="82" spans="1:19" x14ac:dyDescent="0.25">
      <c r="A82">
        <v>39.5</v>
      </c>
      <c r="B82">
        <f ca="1">HLOOKUP(EmpiricAMGcalc!$J$32,AmgEmpWS!$C$1:$H$100,I82,FALSE)</f>
        <v>1.7125889274273742</v>
      </c>
      <c r="C82">
        <f t="shared" ca="1" si="21"/>
        <v>8.6659537891876948</v>
      </c>
      <c r="D82">
        <f t="shared" ca="1" si="24"/>
        <v>13.772481706553174</v>
      </c>
      <c r="E82">
        <f t="shared" ca="1" si="22"/>
        <v>6.827489166046667</v>
      </c>
      <c r="F82">
        <f t="shared" ca="1" si="16"/>
        <v>1.7125889274273742</v>
      </c>
      <c r="G82">
        <f t="shared" ca="1" si="23"/>
        <v>10.762126040039568</v>
      </c>
      <c r="H82">
        <f ca="1">$C$3*EXP(-$A$1*AmgEmpWS!$A82)</f>
        <v>3.221391898679609E-2</v>
      </c>
      <c r="I82">
        <v>82</v>
      </c>
      <c r="J82">
        <f>((Q82-EmpiricAMGcalc!$T$11)^2)/EmpiricAMGcalc!$T$11</f>
        <v>0.36366506645291496</v>
      </c>
      <c r="K82">
        <f>((R82-EmpiricAMGcalc!$T$12)^2)/EmpiricAMGcalc!$T$12</f>
        <v>24.129648876553908</v>
      </c>
      <c r="L82" s="12">
        <f t="shared" si="17"/>
        <v>275</v>
      </c>
      <c r="M82" s="12">
        <v>48</v>
      </c>
      <c r="N82" s="5">
        <f t="shared" si="18"/>
        <v>24.493313943006822</v>
      </c>
      <c r="O82" s="14">
        <v>550</v>
      </c>
      <c r="P82" s="14">
        <v>36.5</v>
      </c>
      <c r="Q82">
        <f t="shared" si="19"/>
        <v>17.303094119354867</v>
      </c>
      <c r="R82">
        <f t="shared" si="13"/>
        <v>2.7060969482368722</v>
      </c>
      <c r="S82">
        <f t="shared" si="20"/>
        <v>53.600768469523807</v>
      </c>
    </row>
    <row r="83" spans="1:19" x14ac:dyDescent="0.25">
      <c r="A83">
        <v>40</v>
      </c>
      <c r="B83">
        <f ca="1">HLOOKUP(EmpiricAMGcalc!$J$32,AmgEmpWS!$C$1:$H$100,I83,FALSE)</f>
        <v>1.5798621721232464</v>
      </c>
      <c r="C83">
        <f t="shared" ca="1" si="21"/>
        <v>7.9943367364123894</v>
      </c>
      <c r="D83">
        <f t="shared" ca="1" si="24"/>
        <v>12.705105420206271</v>
      </c>
      <c r="E83">
        <f t="shared" ca="1" si="22"/>
        <v>6.2983543168305589</v>
      </c>
      <c r="F83">
        <f t="shared" ca="1" si="16"/>
        <v>1.5798621721232464</v>
      </c>
      <c r="G83">
        <f t="shared" ca="1" si="23"/>
        <v>9.9280542750105436</v>
      </c>
      <c r="H83">
        <f ca="1">$C$3*EXP(-$A$1*AmgEmpWS!$A83)</f>
        <v>2.9717319321650362E-2</v>
      </c>
      <c r="I83">
        <v>83</v>
      </c>
      <c r="J83">
        <f>((Q83-EmpiricAMGcalc!$T$11)^2)/EmpiricAMGcalc!$T$11</f>
        <v>6.3157259782946493E-2</v>
      </c>
      <c r="K83">
        <f>((R83-EmpiricAMGcalc!$T$12)^2)/EmpiricAMGcalc!$T$12</f>
        <v>41.446913234152625</v>
      </c>
      <c r="L83" s="12">
        <f t="shared" si="17"/>
        <v>300</v>
      </c>
      <c r="M83" s="12">
        <v>48</v>
      </c>
      <c r="N83" s="5">
        <f t="shared" si="18"/>
        <v>41.510070493935572</v>
      </c>
      <c r="O83" s="14">
        <v>600</v>
      </c>
      <c r="P83" s="14">
        <v>37.5</v>
      </c>
      <c r="Q83">
        <f t="shared" si="19"/>
        <v>18.876102675659858</v>
      </c>
      <c r="R83">
        <f t="shared" si="13"/>
        <v>3.4689638563578429</v>
      </c>
      <c r="S83">
        <f t="shared" si="20"/>
        <v>58.473565603116882</v>
      </c>
    </row>
    <row r="84" spans="1:19" x14ac:dyDescent="0.25">
      <c r="A84">
        <v>40.5</v>
      </c>
      <c r="B84">
        <f ca="1">HLOOKUP(EmpiricAMGcalc!$J$32,AmgEmpWS!$C$1:$H$100,I84,FALSE)</f>
        <v>1.4574218266466215</v>
      </c>
      <c r="C84">
        <f ca="1">$C$3+C83</f>
        <v>26.862261264714277</v>
      </c>
      <c r="D84">
        <f t="shared" ca="1" si="24"/>
        <v>11.720451489998972</v>
      </c>
      <c r="E84">
        <f t="shared" ca="1" si="22"/>
        <v>5.810227762442266</v>
      </c>
      <c r="F84">
        <f t="shared" ca="1" si="16"/>
        <v>1.4574218266466215</v>
      </c>
      <c r="G84">
        <f t="shared" ca="1" si="23"/>
        <v>9.1586236140375803</v>
      </c>
      <c r="H84">
        <f ca="1">$C$3*EXP(-$A$1*AmgEmpWS!$A84)</f>
        <v>2.7414207753701372E-2</v>
      </c>
      <c r="I84">
        <v>84</v>
      </c>
      <c r="J84">
        <f>((Q84-EmpiricAMGcalc!$T$11)^2)/EmpiricAMGcalc!$T$11</f>
        <v>1.0085044933849078E-2</v>
      </c>
      <c r="K84">
        <f>((R84-EmpiricAMGcalc!$T$12)^2)/EmpiricAMGcalc!$T$12</f>
        <v>69.422454074660806</v>
      </c>
      <c r="L84" s="12">
        <f t="shared" si="17"/>
        <v>325</v>
      </c>
      <c r="M84" s="12">
        <v>48</v>
      </c>
      <c r="N84" s="5">
        <f t="shared" si="18"/>
        <v>69.432539119594651</v>
      </c>
      <c r="O84" s="14">
        <v>650</v>
      </c>
      <c r="P84" s="14">
        <v>38.5</v>
      </c>
      <c r="Q84">
        <f t="shared" si="19"/>
        <v>20.449111231964846</v>
      </c>
      <c r="R84">
        <f t="shared" si="13"/>
        <v>4.4160069033386398</v>
      </c>
      <c r="S84">
        <f t="shared" si="20"/>
        <v>63.346362736709956</v>
      </c>
    </row>
    <row r="85" spans="1:19" x14ac:dyDescent="0.25">
      <c r="A85">
        <v>41</v>
      </c>
      <c r="B85">
        <f ca="1">HLOOKUP(EmpiricAMGcalc!$J$32,AmgEmpWS!$C$1:$H$100,I85,FALSE)</f>
        <v>1.3444706875482262</v>
      </c>
      <c r="C85">
        <f t="shared" ref="C85:C100" ca="1" si="25">$C$84*EXP(-$A$1*(A85-40.5))</f>
        <v>24.780418552375195</v>
      </c>
      <c r="D85">
        <f t="shared" ca="1" si="24"/>
        <v>10.812108879549061</v>
      </c>
      <c r="E85">
        <f t="shared" ca="1" si="22"/>
        <v>5.3599313333713567</v>
      </c>
      <c r="F85">
        <f t="shared" ca="1" si="16"/>
        <v>1.3444706875482262</v>
      </c>
      <c r="G85">
        <f t="shared" ca="1" si="23"/>
        <v>8.4488243295303391</v>
      </c>
      <c r="H85">
        <f ca="1">$C$3*EXP(-$A$1*AmgEmpWS!$A85)</f>
        <v>2.5289588829621377E-2</v>
      </c>
      <c r="I85">
        <v>85</v>
      </c>
      <c r="J85">
        <f>((Q85-EmpiricAMGcalc!$T$11)^2)/EmpiricAMGcalc!$T$11</f>
        <v>0.20444842190562254</v>
      </c>
      <c r="K85">
        <f>((R85-EmpiricAMGcalc!$T$12)^2)/EmpiricAMGcalc!$T$12</f>
        <v>113.991203663465</v>
      </c>
      <c r="L85" s="12">
        <f t="shared" si="17"/>
        <v>350</v>
      </c>
      <c r="M85" s="12">
        <v>48</v>
      </c>
      <c r="N85" s="5">
        <f t="shared" si="18"/>
        <v>114.19565208537063</v>
      </c>
      <c r="O85" s="14">
        <v>700</v>
      </c>
      <c r="P85" s="14">
        <v>39.5</v>
      </c>
      <c r="Q85">
        <f t="shared" si="19"/>
        <v>22.022119788269837</v>
      </c>
      <c r="R85">
        <f t="shared" si="13"/>
        <v>5.588333158942616</v>
      </c>
      <c r="S85">
        <f t="shared" si="20"/>
        <v>68.219159870303031</v>
      </c>
    </row>
    <row r="86" spans="1:19" x14ac:dyDescent="0.25">
      <c r="A86">
        <v>41.5</v>
      </c>
      <c r="B86">
        <f ca="1">HLOOKUP(EmpiricAMGcalc!$J$32,AmgEmpWS!$C$1:$H$100,I86,FALSE)</f>
        <v>1.240273335164402</v>
      </c>
      <c r="C86">
        <f t="shared" ca="1" si="25"/>
        <v>22.859920003738836</v>
      </c>
      <c r="D86">
        <f t="shared" ca="1" si="24"/>
        <v>9.974163411962035</v>
      </c>
      <c r="E86">
        <f t="shared" ca="1" si="22"/>
        <v>4.9445331703107263</v>
      </c>
      <c r="F86">
        <f t="shared" ca="1" si="16"/>
        <v>1.240273335164402</v>
      </c>
      <c r="G86">
        <f t="shared" ca="1" si="23"/>
        <v>7.7940349510437787</v>
      </c>
      <c r="H86">
        <f ca="1">$C$3*EXP(-$A$1*AmgEmpWS!$A86)</f>
        <v>2.3329629253464719E-2</v>
      </c>
      <c r="I86">
        <v>86</v>
      </c>
      <c r="J86">
        <f>((Q86-EmpiricAMGcalc!$T$11)^2)/EmpiricAMGcalc!$T$11</f>
        <v>0.64624739069826465</v>
      </c>
      <c r="K86">
        <f>((R86-EmpiricAMGcalc!$T$12)^2)/EmpiricAMGcalc!$T$12</f>
        <v>184.18822953052893</v>
      </c>
      <c r="L86" s="12">
        <f t="shared" si="17"/>
        <v>375</v>
      </c>
      <c r="M86" s="12">
        <v>48</v>
      </c>
      <c r="N86" s="5">
        <f t="shared" si="18"/>
        <v>184.83447692122721</v>
      </c>
      <c r="O86" s="14">
        <v>750</v>
      </c>
      <c r="P86" s="14">
        <v>40.5</v>
      </c>
      <c r="Q86">
        <f t="shared" si="19"/>
        <v>23.595128344574821</v>
      </c>
      <c r="R86">
        <f t="shared" si="13"/>
        <v>7.0357982126373484</v>
      </c>
      <c r="S86">
        <f t="shared" si="20"/>
        <v>73.091957003896098</v>
      </c>
    </row>
    <row r="87" spans="1:19" x14ac:dyDescent="0.25">
      <c r="A87">
        <v>42</v>
      </c>
      <c r="B87">
        <f ca="1">HLOOKUP(EmpiricAMGcalc!$J$32,AmgEmpWS!$C$1:$H$100,I87,FALSE)</f>
        <v>1.1441513453335521</v>
      </c>
      <c r="C87">
        <f t="shared" ca="1" si="25"/>
        <v>21.088261341221383</v>
      </c>
      <c r="D87">
        <f t="shared" ca="1" si="24"/>
        <v>9.2011592628977752</v>
      </c>
      <c r="E87">
        <f t="shared" ca="1" si="22"/>
        <v>4.5613286349556965</v>
      </c>
      <c r="F87">
        <f t="shared" ca="1" si="16"/>
        <v>1.1441513453335521</v>
      </c>
      <c r="G87">
        <f t="shared" ca="1" si="23"/>
        <v>7.1899921750969646</v>
      </c>
      <c r="H87">
        <f ca="1">$C$3*EXP(-$A$1*AmgEmpWS!$A87)</f>
        <v>2.1521567818715101E-2</v>
      </c>
      <c r="I87">
        <v>87</v>
      </c>
      <c r="J87">
        <f>((Q87-EmpiricAMGcalc!$T$11)^2)/EmpiricAMGcalc!$T$11</f>
        <v>1.3354819513117777</v>
      </c>
      <c r="K87">
        <f>((R87-EmpiricAMGcalc!$T$12)^2)/EmpiricAMGcalc!$T$12</f>
        <v>293.69798523417734</v>
      </c>
      <c r="L87" s="12">
        <f t="shared" si="17"/>
        <v>400</v>
      </c>
      <c r="M87" s="12">
        <v>48</v>
      </c>
      <c r="N87" s="5">
        <f t="shared" si="18"/>
        <v>295.03346718548914</v>
      </c>
      <c r="O87" s="14">
        <v>800</v>
      </c>
      <c r="P87" s="14">
        <v>41.5</v>
      </c>
      <c r="Q87">
        <f t="shared" si="19"/>
        <v>25.168136900879809</v>
      </c>
      <c r="R87">
        <f t="shared" si="13"/>
        <v>8.8188095035742471</v>
      </c>
      <c r="S87">
        <f t="shared" si="20"/>
        <v>77.96475413748918</v>
      </c>
    </row>
    <row r="88" spans="1:19" x14ac:dyDescent="0.25">
      <c r="A88">
        <v>42.5</v>
      </c>
      <c r="B88">
        <f ca="1">HLOOKUP(EmpiricAMGcalc!$J$32,AmgEmpWS!$C$1:$H$100,I88,FALSE)</f>
        <v>1.0554788722076771</v>
      </c>
      <c r="C88">
        <f t="shared" ca="1" si="25"/>
        <v>19.453907376881343</v>
      </c>
      <c r="D88">
        <f t="shared" ca="1" si="24"/>
        <v>8.4880634379495952</v>
      </c>
      <c r="E88">
        <f t="shared" ca="1" si="22"/>
        <v>4.2078227002286086</v>
      </c>
      <c r="F88">
        <f t="shared" ca="1" si="16"/>
        <v>1.0554788722076771</v>
      </c>
      <c r="G88">
        <f t="shared" ca="1" si="23"/>
        <v>6.6327631070004935</v>
      </c>
      <c r="H88">
        <f ca="1">$C$3*EXP(-$A$1*AmgEmpWS!$A88)</f>
        <v>1.985363232065793E-2</v>
      </c>
      <c r="I88">
        <v>88</v>
      </c>
      <c r="J88">
        <f>((Q88-EmpiricAMGcalc!$T$11)^2)/EmpiricAMGcalc!$T$11</f>
        <v>2.2721521037461629</v>
      </c>
      <c r="K88">
        <f>((R88-EmpiricAMGcalc!$T$12)^2)/EmpiricAMGcalc!$T$12</f>
        <v>463.15283297103002</v>
      </c>
      <c r="L88" s="12">
        <f t="shared" si="17"/>
        <v>425</v>
      </c>
      <c r="M88" s="12">
        <v>48</v>
      </c>
      <c r="N88" s="5">
        <f t="shared" si="18"/>
        <v>465.4249850747762</v>
      </c>
      <c r="O88" s="14">
        <v>850</v>
      </c>
      <c r="P88" s="14">
        <v>42.5</v>
      </c>
      <c r="Q88">
        <f t="shared" si="19"/>
        <v>26.7411454571848</v>
      </c>
      <c r="R88">
        <f t="shared" si="13"/>
        <v>11.010492936792325</v>
      </c>
      <c r="S88">
        <f t="shared" si="20"/>
        <v>82.837551271082248</v>
      </c>
    </row>
    <row r="89" spans="1:19" x14ac:dyDescent="0.25">
      <c r="A89">
        <v>43</v>
      </c>
      <c r="B89">
        <f ca="1">HLOOKUP(EmpiricAMGcalc!$J$32,AmgEmpWS!$C$1:$H$100,I89,FALSE)</f>
        <v>0.97367857339888675</v>
      </c>
      <c r="C89">
        <f t="shared" ca="1" si="25"/>
        <v>17.946216907342212</v>
      </c>
      <c r="D89">
        <f t="shared" ca="1" si="24"/>
        <v>7.8302330030494911</v>
      </c>
      <c r="E89">
        <f t="shared" ca="1" si="22"/>
        <v>3.8817137052724431</v>
      </c>
      <c r="F89">
        <f t="shared" ca="1" si="16"/>
        <v>0.97367857339888675</v>
      </c>
      <c r="G89">
        <f t="shared" ca="1" si="23"/>
        <v>6.1187196539603406</v>
      </c>
      <c r="H89">
        <f ca="1">$C$3*EXP(-$A$1*AmgEmpWS!$A89)</f>
        <v>1.8314962908097542E-2</v>
      </c>
      <c r="I89">
        <v>89</v>
      </c>
      <c r="J89">
        <f>((Q89-EmpiricAMGcalc!$T$11)^2)/EmpiricAMGcalc!$T$11</f>
        <v>3.4562578480014166</v>
      </c>
      <c r="K89">
        <f>((R89-EmpiricAMGcalc!$T$12)^2)/EmpiricAMGcalc!$T$12</f>
        <v>723.53411349317628</v>
      </c>
      <c r="L89" s="12">
        <f t="shared" si="17"/>
        <v>450</v>
      </c>
      <c r="M89" s="12">
        <v>48</v>
      </c>
      <c r="N89" s="5">
        <f t="shared" si="18"/>
        <v>726.99037134117771</v>
      </c>
      <c r="O89" s="14">
        <v>900</v>
      </c>
      <c r="P89" s="14">
        <v>43.5</v>
      </c>
      <c r="Q89">
        <f t="shared" si="19"/>
        <v>28.314154013489787</v>
      </c>
      <c r="R89">
        <f t="shared" si="13"/>
        <v>13.69929471657507</v>
      </c>
      <c r="S89">
        <f t="shared" si="20"/>
        <v>87.710348404675329</v>
      </c>
    </row>
    <row r="90" spans="1:19" x14ac:dyDescent="0.25">
      <c r="A90">
        <v>43.5</v>
      </c>
      <c r="B90">
        <f ca="1">HLOOKUP(EmpiricAMGcalc!$J$32,AmgEmpWS!$C$1:$H$100,I90,FALSE)</f>
        <v>0.89821785092970763</v>
      </c>
      <c r="C90">
        <f t="shared" ca="1" si="25"/>
        <v>16.555373429407471</v>
      </c>
      <c r="D90">
        <f t="shared" ca="1" si="24"/>
        <v>7.2233848545383088</v>
      </c>
      <c r="E90">
        <f t="shared" ca="1" si="22"/>
        <v>3.5808783694430146</v>
      </c>
      <c r="F90">
        <f t="shared" ca="1" si="16"/>
        <v>0.89821785092970763</v>
      </c>
      <c r="G90">
        <f t="shared" ca="1" si="23"/>
        <v>5.6445149027327925</v>
      </c>
      <c r="H90">
        <f ca="1">$C$3*EXP(-$A$1*AmgEmpWS!$A90)</f>
        <v>1.6895541375366471E-2</v>
      </c>
      <c r="I90">
        <v>90</v>
      </c>
      <c r="J90">
        <f>((Q90-EmpiricAMGcalc!$T$11)^2)/EmpiricAMGcalc!$T$11</f>
        <v>4.8877991840775374</v>
      </c>
      <c r="K90">
        <f>((R90-EmpiricAMGcalc!$T$12)^2)/EmpiricAMGcalc!$T$12</f>
        <v>1121.1922362066321</v>
      </c>
      <c r="L90" s="12">
        <f t="shared" si="17"/>
        <v>475</v>
      </c>
      <c r="M90" s="12">
        <v>48</v>
      </c>
      <c r="N90" s="5">
        <f t="shared" si="18"/>
        <v>1126.0800353907096</v>
      </c>
      <c r="O90" s="14">
        <v>950</v>
      </c>
      <c r="P90" s="14">
        <v>44.5</v>
      </c>
      <c r="Q90">
        <f t="shared" si="19"/>
        <v>29.887162569794771</v>
      </c>
      <c r="R90">
        <f t="shared" si="13"/>
        <v>16.992104379427875</v>
      </c>
      <c r="S90">
        <f t="shared" si="20"/>
        <v>92.583145538268397</v>
      </c>
    </row>
    <row r="91" spans="1:19" x14ac:dyDescent="0.25">
      <c r="A91">
        <v>44</v>
      </c>
      <c r="B91">
        <f ca="1">HLOOKUP(EmpiricAMGcalc!$J$32,AmgEmpWS!$C$1:$H$100,I91,FALSE)</f>
        <v>0.82860538351218571</v>
      </c>
      <c r="C91">
        <f t="shared" ca="1" si="25"/>
        <v>15.27232122526048</v>
      </c>
      <c r="D91">
        <f t="shared" ca="1" si="24"/>
        <v>6.6635678320751026</v>
      </c>
      <c r="E91">
        <f t="shared" ca="1" si="22"/>
        <v>3.3033579677264955</v>
      </c>
      <c r="F91">
        <f t="shared" ca="1" si="16"/>
        <v>0.82860538351218571</v>
      </c>
      <c r="G91">
        <f t="shared" ca="1" si="23"/>
        <v>5.2070613280265015</v>
      </c>
      <c r="H91">
        <f ca="1">$C$3*EXP(-$A$1*AmgEmpWS!$A91)</f>
        <v>1.558612593424968E-2</v>
      </c>
      <c r="I91">
        <v>91</v>
      </c>
      <c r="J91">
        <f>((Q91-EmpiricAMGcalc!$T$11)^2)/EmpiricAMGcalc!$T$11</f>
        <v>6.5667761119745354</v>
      </c>
      <c r="K91">
        <f>((R91-EmpiricAMGcalc!$T$12)^2)/EmpiricAMGcalc!$T$12</f>
        <v>1725.2395910838177</v>
      </c>
      <c r="L91" s="12">
        <f t="shared" si="17"/>
        <v>500</v>
      </c>
      <c r="M91" s="12">
        <v>48</v>
      </c>
      <c r="N91" s="5">
        <f t="shared" si="18"/>
        <v>1731.8063671957923</v>
      </c>
      <c r="O91" s="14">
        <v>1000</v>
      </c>
      <c r="P91" s="14">
        <v>45.5</v>
      </c>
      <c r="Q91">
        <f t="shared" si="19"/>
        <v>31.460171126099763</v>
      </c>
      <c r="R91">
        <f t="shared" si="13"/>
        <v>21.018001776072595</v>
      </c>
      <c r="S91">
        <f t="shared" si="20"/>
        <v>97.455942671861465</v>
      </c>
    </row>
    <row r="92" spans="1:19" x14ac:dyDescent="0.25">
      <c r="A92">
        <v>44.5</v>
      </c>
      <c r="B92">
        <f ca="1">HLOOKUP(EmpiricAMGcalc!$J$32,AmgEmpWS!$C$1:$H$100,I92,FALSE)</f>
        <v>0.76438792757761287</v>
      </c>
      <c r="C92">
        <f t="shared" ca="1" si="25"/>
        <v>14.088706401102892</v>
      </c>
      <c r="D92">
        <f t="shared" ca="1" si="24"/>
        <v>6.1471369928141755</v>
      </c>
      <c r="E92">
        <f t="shared" ca="1" si="22"/>
        <v>3.0473455775710834</v>
      </c>
      <c r="F92">
        <f t="shared" ca="1" si="16"/>
        <v>0.76438792757761287</v>
      </c>
      <c r="G92">
        <f t="shared" ca="1" si="23"/>
        <v>4.8035106897675321</v>
      </c>
      <c r="H92">
        <f ca="1">$C$3*EXP(-$A$1*AmgEmpWS!$A92)</f>
        <v>1.4378191041127352E-2</v>
      </c>
      <c r="I92">
        <v>92</v>
      </c>
      <c r="L92" s="12"/>
      <c r="N92" s="5"/>
      <c r="P92" s="14"/>
    </row>
    <row r="93" spans="1:19" x14ac:dyDescent="0.25">
      <c r="A93">
        <v>45</v>
      </c>
      <c r="B93">
        <f ca="1">HLOOKUP(EmpiricAMGcalc!$J$32,AmgEmpWS!$C$1:$H$100,I93,FALSE)</f>
        <v>0.70514736622852858</v>
      </c>
      <c r="C93">
        <f t="shared" ca="1" si="25"/>
        <v>12.996822495336962</v>
      </c>
      <c r="D93">
        <f t="shared" ca="1" si="24"/>
        <v>5.670729879350108</v>
      </c>
      <c r="E93">
        <f t="shared" ca="1" si="22"/>
        <v>2.811174314097499</v>
      </c>
      <c r="F93">
        <f t="shared" ca="1" si="16"/>
        <v>0.70514736622852858</v>
      </c>
      <c r="G93">
        <f t="shared" ca="1" si="23"/>
        <v>4.4312354883394454</v>
      </c>
      <c r="H93">
        <f ca="1">$C$3*EXP(-$A$1*AmgEmpWS!$A93)</f>
        <v>1.3263871887552976E-2</v>
      </c>
      <c r="I93">
        <v>93</v>
      </c>
      <c r="L93" s="12"/>
      <c r="N93" s="5"/>
      <c r="P93" s="14"/>
    </row>
    <row r="94" spans="1:19" x14ac:dyDescent="0.25">
      <c r="A94">
        <v>45.5</v>
      </c>
      <c r="B94">
        <f ca="1">HLOOKUP(EmpiricAMGcalc!$J$32,AmgEmpWS!$C$1:$H$100,I94,FALSE)</f>
        <v>0.65049798689886273</v>
      </c>
      <c r="C94">
        <f t="shared" ca="1" si="25"/>
        <v>11.989560302149085</v>
      </c>
      <c r="D94">
        <f t="shared" ca="1" si="24"/>
        <v>5.2312446269124786</v>
      </c>
      <c r="E94">
        <f t="shared" ca="1" si="22"/>
        <v>2.5933064770883223</v>
      </c>
      <c r="F94">
        <f t="shared" ca="1" si="16"/>
        <v>0.65049798689886273</v>
      </c>
      <c r="G94">
        <f t="shared" ca="1" si="23"/>
        <v>4.0878118570543256</v>
      </c>
      <c r="H94">
        <f ca="1">$C$3*EXP(-$A$1*AmgEmpWS!$A94)</f>
        <v>1.2235913192847944E-2</v>
      </c>
      <c r="I94">
        <v>94</v>
      </c>
      <c r="L94" s="12"/>
      <c r="N94" s="5"/>
      <c r="P94" s="14"/>
    </row>
    <row r="95" spans="1:19" x14ac:dyDescent="0.25">
      <c r="A95">
        <v>46</v>
      </c>
      <c r="B95">
        <f ca="1">HLOOKUP(EmpiricAMGcalc!$J$32,AmgEmpWS!$C$1:$H$100,I95,FALSE)</f>
        <v>0.60008396999718305</v>
      </c>
      <c r="C95">
        <f t="shared" ca="1" si="25"/>
        <v>11.060361583798203</v>
      </c>
      <c r="D95">
        <f t="shared" ca="1" si="24"/>
        <v>4.8258197672672329</v>
      </c>
      <c r="E95">
        <f t="shared" ca="1" si="22"/>
        <v>2.392323539092708</v>
      </c>
      <c r="F95">
        <f t="shared" ca="1" si="16"/>
        <v>0.60008396999718305</v>
      </c>
      <c r="G95">
        <f t="shared" ca="1" si="23"/>
        <v>3.7710037804684338</v>
      </c>
      <c r="H95">
        <f ca="1">$C$3*EXP(-$A$1*AmgEmpWS!$A95)</f>
        <v>1.1287621965303174E-2</v>
      </c>
      <c r="I95">
        <v>95</v>
      </c>
      <c r="L95" s="12"/>
      <c r="N95" s="5"/>
      <c r="P95" s="14"/>
    </row>
    <row r="96" spans="1:19" x14ac:dyDescent="0.25">
      <c r="A96">
        <v>46.5</v>
      </c>
      <c r="B96">
        <f ca="1">HLOOKUP(EmpiricAMGcalc!$J$32,AmgEmpWS!$C$1:$H$100,I96,FALSE)</f>
        <v>0.55357707218172747</v>
      </c>
      <c r="C96">
        <f t="shared" ca="1" si="25"/>
        <v>10.203176370231994</v>
      </c>
      <c r="D96">
        <f t="shared" ca="1" si="24"/>
        <v>4.4518155978288174</v>
      </c>
      <c r="E96">
        <f t="shared" ca="1" si="22"/>
        <v>2.2069169094594985</v>
      </c>
      <c r="F96">
        <f t="shared" ca="1" si="16"/>
        <v>0.55357707218172747</v>
      </c>
      <c r="G96">
        <f t="shared" ca="1" si="23"/>
        <v>3.4787485357886498</v>
      </c>
      <c r="H96">
        <f ca="1">$C$3*EXP(-$A$1*AmgEmpWS!$A96)</f>
        <v>1.0412823924418481E-2</v>
      </c>
      <c r="I96">
        <v>96</v>
      </c>
      <c r="L96" s="12"/>
      <c r="N96" s="5"/>
      <c r="P96" s="14"/>
    </row>
    <row r="97" spans="1:16" x14ac:dyDescent="0.25">
      <c r="A97">
        <v>47</v>
      </c>
      <c r="B97">
        <f ca="1">HLOOKUP(EmpiricAMGcalc!$J$32,AmgEmpWS!$C$1:$H$100,I97,FALSE)</f>
        <v>0.51067448918312552</v>
      </c>
      <c r="C97">
        <f t="shared" ca="1" si="25"/>
        <v>9.4124235680105315</v>
      </c>
      <c r="D97">
        <f t="shared" ca="1" si="24"/>
        <v>4.1067969946782474</v>
      </c>
      <c r="E97">
        <f t="shared" ca="1" si="22"/>
        <v>2.0358794141637717</v>
      </c>
      <c r="F97">
        <f t="shared" ca="1" si="16"/>
        <v>0.51067448918312552</v>
      </c>
      <c r="G97">
        <f t="shared" ca="1" si="23"/>
        <v>3.209143262579389</v>
      </c>
      <c r="H97">
        <f ca="1">$C$3*EXP(-$A$1*AmgEmpWS!$A97)</f>
        <v>9.605823300446575E-3</v>
      </c>
      <c r="I97">
        <v>97</v>
      </c>
      <c r="L97" s="12"/>
      <c r="N97" s="5"/>
      <c r="P97" s="14"/>
    </row>
    <row r="98" spans="1:16" x14ac:dyDescent="0.25">
      <c r="A98">
        <v>47.5</v>
      </c>
      <c r="B98">
        <f ca="1">HLOOKUP(EmpiricAMGcalc!$J$32,AmgEmpWS!$C$1:$H$100,I98,FALSE)</f>
        <v>0.47109688425974933</v>
      </c>
      <c r="C98">
        <f t="shared" ca="1" si="25"/>
        <v>8.6829546220640061</v>
      </c>
      <c r="D98">
        <f t="shared" ca="1" si="24"/>
        <v>3.7885175575834387</v>
      </c>
      <c r="E98">
        <f t="shared" ca="1" si="22"/>
        <v>1.8780974359523748</v>
      </c>
      <c r="F98">
        <f t="shared" ca="1" si="16"/>
        <v>0.47109688425974933</v>
      </c>
      <c r="G98">
        <f t="shared" ca="1" si="23"/>
        <v>2.9604325733259524</v>
      </c>
      <c r="H98">
        <f ca="1">$C$3*EXP(-$A$1*AmgEmpWS!$A98)</f>
        <v>8.8613657494986866E-3</v>
      </c>
      <c r="I98">
        <v>98</v>
      </c>
      <c r="L98" s="12"/>
      <c r="N98" s="5"/>
      <c r="P98" s="14"/>
    </row>
    <row r="99" spans="1:16" x14ac:dyDescent="0.25">
      <c r="A99">
        <v>48</v>
      </c>
      <c r="B99">
        <f ca="1">HLOOKUP(EmpiricAMGcalc!$J$32,AmgEmpWS!$C$1:$H$100,I99,FALSE)</f>
        <v>0.43458656944905621</v>
      </c>
      <c r="C99">
        <f t="shared" ca="1" si="25"/>
        <v>8.0100199936878056</v>
      </c>
      <c r="D99">
        <f t="shared" ca="1" si="24"/>
        <v>3.4949049837907742</v>
      </c>
      <c r="E99">
        <f t="shared" ca="1" si="22"/>
        <v>1.7325436636332836</v>
      </c>
      <c r="F99">
        <f t="shared" ca="1" si="16"/>
        <v>0.43458656944905621</v>
      </c>
      <c r="G99">
        <f t="shared" ca="1" si="23"/>
        <v>2.7309971241872883</v>
      </c>
      <c r="H99">
        <f ca="1">$C$3*EXP(-$A$1*AmgEmpWS!$A99)</f>
        <v>8.1746041427534655E-3</v>
      </c>
      <c r="I99">
        <v>99</v>
      </c>
      <c r="L99" s="12"/>
      <c r="N99" s="5"/>
      <c r="P99" s="14"/>
    </row>
    <row r="100" spans="1:16" x14ac:dyDescent="0.25">
      <c r="A100">
        <v>48.5</v>
      </c>
      <c r="B100">
        <f ca="1">HLOOKUP(EmpiricAMGcalc!$J$32,AmgEmpWS!$C$1:$H$100,I100,FALSE)</f>
        <v>19.302511097750944</v>
      </c>
      <c r="C100">
        <f t="shared" ca="1" si="25"/>
        <v>7.3892382365148164</v>
      </c>
      <c r="D100">
        <f ca="1">D99+D3</f>
        <v>22.362829512092663</v>
      </c>
      <c r="E100">
        <f t="shared" ca="1" si="22"/>
        <v>1.5982704032997561</v>
      </c>
      <c r="F100">
        <f ca="1">F99+F3</f>
        <v>19.302511097750944</v>
      </c>
      <c r="G100">
        <f t="shared" ca="1" si="23"/>
        <v>2.5193430715228287</v>
      </c>
      <c r="H100">
        <f ca="1">$C$3*EXP(-$A$1*AmgEmpWS!$A100)</f>
        <v>7.5410670070245739E-3</v>
      </c>
      <c r="I100">
        <v>100</v>
      </c>
      <c r="L100" s="12"/>
      <c r="N100" s="5"/>
      <c r="P10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EmpiricVANCOMYCINcalc</vt:lpstr>
      <vt:lpstr>EmpiricNote</vt:lpstr>
      <vt:lpstr>EmpWorksheet</vt:lpstr>
      <vt:lpstr>TwoLevelVANCOMYCINcalc</vt:lpstr>
      <vt:lpstr>TLKnote</vt:lpstr>
      <vt:lpstr>TLKworksheet</vt:lpstr>
      <vt:lpstr>EmpiricAMGcalc</vt:lpstr>
      <vt:lpstr>AmgEmpWS</vt:lpstr>
      <vt:lpstr>DLsheet</vt:lpstr>
      <vt:lpstr>WeMadeThis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Yost</dc:creator>
  <cp:lastModifiedBy>Raymond Yost</cp:lastModifiedBy>
  <dcterms:created xsi:type="dcterms:W3CDTF">2020-11-15T18:42:06Z</dcterms:created>
  <dcterms:modified xsi:type="dcterms:W3CDTF">2021-06-18T01:57:03Z</dcterms:modified>
</cp:coreProperties>
</file>